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80" yWindow="915" windowWidth="5595" windowHeight="5625" firstSheet="2" activeTab="2"/>
  </bookViews>
  <sheets>
    <sheet name="Calcul IL" sheetId="1" state="hidden" r:id="rId1"/>
    <sheet name="Tab Calculs (protégés)" sheetId="2" state="hidden" r:id="rId2"/>
    <sheet name="Calcul IL (2,0)" sheetId="3" r:id="rId3"/>
    <sheet name="Tab Calculs (protégés) (2,0)" sheetId="4" state="hidden" r:id="rId4"/>
    <sheet name="Config difficile" sheetId="5" state="hidden" r:id="rId5"/>
  </sheets>
  <definedNames>
    <definedName name="Z_BF2832C1_911B_4D2D_B3A7_600F3D1D009B_.wvu.Rows" localSheetId="0" hidden="1">'Calcul IL'!$53:$101</definedName>
    <definedName name="Z_BF2832C1_911B_4D2D_B3A7_600F3D1D009B_.wvu.Rows" localSheetId="2" hidden="1">'Calcul IL (2,0)'!$53:$101</definedName>
  </definedNames>
  <calcPr calcId="145621"/>
  <customWorkbookViews>
    <customWorkbookView name="INNERLYNX" guid="{BF2832C1-911B-4D2D-B3A7-600F3D1D009B}" maximized="1" windowWidth="1276" windowHeight="825" activeSheetId="1"/>
  </customWorkbookViews>
</workbook>
</file>

<file path=xl/calcChain.xml><?xml version="1.0" encoding="utf-8"?>
<calcChain xmlns="http://schemas.openxmlformats.org/spreadsheetml/2006/main">
  <c r="G42" i="3" l="1"/>
  <c r="D51" i="5" l="1"/>
  <c r="D50" i="5" l="1"/>
  <c r="D49" i="5" l="1"/>
  <c r="D48" i="5" l="1"/>
  <c r="D47" i="5" l="1"/>
  <c r="D46" i="5" l="1"/>
  <c r="D45" i="5" l="1"/>
  <c r="D44" i="5" l="1"/>
  <c r="D43" i="5"/>
  <c r="D38" i="5" l="1"/>
  <c r="D39" i="5"/>
  <c r="D40" i="5"/>
  <c r="D41" i="5"/>
  <c r="D42" i="5"/>
  <c r="D37" i="5" l="1"/>
  <c r="D36" i="5" l="1"/>
  <c r="D35" i="5"/>
  <c r="D24" i="5" l="1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5" i="5"/>
  <c r="D26" i="5"/>
  <c r="D27" i="5"/>
  <c r="D28" i="5"/>
  <c r="D29" i="5"/>
  <c r="D30" i="5"/>
  <c r="D31" i="5"/>
  <c r="D32" i="5"/>
  <c r="D33" i="5"/>
  <c r="D34" i="5"/>
  <c r="D5" i="5"/>
  <c r="N48" i="3" l="1"/>
  <c r="H48" i="3" s="1"/>
  <c r="P6" i="4"/>
  <c r="P7" i="4" l="1"/>
  <c r="P8" i="4"/>
  <c r="P9" i="4" l="1"/>
  <c r="U13" i="4"/>
  <c r="U14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32" i="4"/>
  <c r="P10" i="4"/>
  <c r="P11" i="4" s="1"/>
  <c r="T8" i="4" l="1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7" i="4"/>
  <c r="R8" i="4" l="1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7" i="4"/>
  <c r="V8" i="4"/>
  <c r="U9" i="4"/>
  <c r="V22" i="4" l="1"/>
  <c r="V23" i="4"/>
  <c r="V15" i="4"/>
  <c r="V14" i="4"/>
  <c r="V21" i="4"/>
  <c r="V28" i="4"/>
  <c r="V18" i="4"/>
  <c r="V10" i="4"/>
  <c r="V7" i="4"/>
  <c r="V13" i="4"/>
  <c r="V20" i="4"/>
  <c r="V12" i="4"/>
  <c r="V27" i="4"/>
  <c r="V19" i="4"/>
  <c r="V11" i="4"/>
  <c r="V26" i="4"/>
  <c r="V25" i="4"/>
  <c r="V17" i="4"/>
  <c r="V9" i="4"/>
  <c r="V24" i="4"/>
  <c r="V16" i="4"/>
  <c r="U24" i="4"/>
  <c r="U16" i="4"/>
  <c r="U8" i="4"/>
  <c r="U22" i="4"/>
  <c r="U7" i="4"/>
  <c r="U21" i="4"/>
  <c r="U28" i="4"/>
  <c r="U20" i="4"/>
  <c r="U12" i="4"/>
  <c r="U23" i="4"/>
  <c r="U27" i="4"/>
  <c r="U19" i="4"/>
  <c r="U11" i="4"/>
  <c r="W13" i="4"/>
  <c r="U26" i="4"/>
  <c r="U18" i="4"/>
  <c r="U10" i="4"/>
  <c r="U15" i="4"/>
  <c r="U25" i="4"/>
  <c r="U17" i="4"/>
  <c r="L117" i="4"/>
  <c r="L115" i="4"/>
  <c r="L112" i="4"/>
  <c r="P112" i="4" s="1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Q17" i="3"/>
  <c r="J17" i="3"/>
  <c r="J15" i="3"/>
  <c r="J13" i="3"/>
  <c r="S7" i="4" l="1"/>
  <c r="V36" i="4"/>
  <c r="W22" i="4"/>
  <c r="W14" i="4"/>
  <c r="X14" i="4" s="1"/>
  <c r="L49" i="4"/>
  <c r="N32" i="4"/>
  <c r="K105" i="4"/>
  <c r="L105" i="4" s="1"/>
  <c r="L33" i="4"/>
  <c r="N40" i="4"/>
  <c r="L41" i="4"/>
  <c r="N48" i="4"/>
  <c r="K89" i="4"/>
  <c r="L89" i="4" s="1"/>
  <c r="K90" i="4"/>
  <c r="L90" i="4" s="1"/>
  <c r="N50" i="4"/>
  <c r="K97" i="4"/>
  <c r="L97" i="4" s="1"/>
  <c r="L35" i="4"/>
  <c r="L43" i="4"/>
  <c r="L51" i="4"/>
  <c r="K94" i="4"/>
  <c r="L94" i="4" s="1"/>
  <c r="N36" i="4"/>
  <c r="N52" i="4"/>
  <c r="L37" i="4"/>
  <c r="L45" i="4"/>
  <c r="L53" i="4"/>
  <c r="K98" i="4"/>
  <c r="L98" i="4" s="1"/>
  <c r="N38" i="4"/>
  <c r="N46" i="4"/>
  <c r="K85" i="4"/>
  <c r="L85" i="4" s="1"/>
  <c r="K101" i="4"/>
  <c r="L101" i="4" s="1"/>
  <c r="N34" i="4"/>
  <c r="N42" i="4"/>
  <c r="K93" i="4"/>
  <c r="L93" i="4" s="1"/>
  <c r="N44" i="4"/>
  <c r="L39" i="4"/>
  <c r="L47" i="4"/>
  <c r="K86" i="4"/>
  <c r="L86" i="4" s="1"/>
  <c r="K102" i="4"/>
  <c r="L102" i="4" s="1"/>
  <c r="S11" i="4"/>
  <c r="S19" i="4"/>
  <c r="S27" i="4"/>
  <c r="S17" i="4"/>
  <c r="S12" i="4"/>
  <c r="S20" i="4"/>
  <c r="S28" i="4"/>
  <c r="S9" i="4"/>
  <c r="S10" i="4"/>
  <c r="S18" i="4"/>
  <c r="S26" i="4"/>
  <c r="S13" i="4"/>
  <c r="S21" i="4"/>
  <c r="S25" i="4"/>
  <c r="S14" i="4"/>
  <c r="S22" i="4"/>
  <c r="S15" i="4"/>
  <c r="S23" i="4"/>
  <c r="S8" i="4"/>
  <c r="S16" i="4"/>
  <c r="S24" i="4"/>
  <c r="W7" i="4"/>
  <c r="W12" i="4"/>
  <c r="W20" i="4"/>
  <c r="W28" i="4"/>
  <c r="W21" i="4"/>
  <c r="W25" i="4"/>
  <c r="W18" i="4"/>
  <c r="W17" i="4"/>
  <c r="W10" i="4"/>
  <c r="W11" i="4"/>
  <c r="W19" i="4"/>
  <c r="W9" i="4"/>
  <c r="W15" i="4"/>
  <c r="W23" i="4"/>
  <c r="W8" i="4"/>
  <c r="W16" i="4"/>
  <c r="W24" i="4"/>
  <c r="X24" i="4" s="1"/>
  <c r="W26" i="4"/>
  <c r="W27" i="4"/>
  <c r="P116" i="4"/>
  <c r="L126" i="4"/>
  <c r="N33" i="4"/>
  <c r="N35" i="4"/>
  <c r="N37" i="4"/>
  <c r="N39" i="4"/>
  <c r="N41" i="4"/>
  <c r="N43" i="4"/>
  <c r="N45" i="4"/>
  <c r="N47" i="4"/>
  <c r="N49" i="4"/>
  <c r="N51" i="4"/>
  <c r="N53" i="4"/>
  <c r="K87" i="4"/>
  <c r="L87" i="4" s="1"/>
  <c r="K91" i="4"/>
  <c r="L91" i="4" s="1"/>
  <c r="K95" i="4"/>
  <c r="L95" i="4" s="1"/>
  <c r="K99" i="4"/>
  <c r="L99" i="4" s="1"/>
  <c r="K103" i="4"/>
  <c r="L103" i="4" s="1"/>
  <c r="L32" i="4"/>
  <c r="L34" i="4"/>
  <c r="L36" i="4"/>
  <c r="L38" i="4"/>
  <c r="L40" i="4"/>
  <c r="L42" i="4"/>
  <c r="L44" i="4"/>
  <c r="L46" i="4"/>
  <c r="L48" i="4"/>
  <c r="L50" i="4"/>
  <c r="L52" i="4"/>
  <c r="K84" i="4"/>
  <c r="L84" i="4" s="1"/>
  <c r="K88" i="4"/>
  <c r="L88" i="4" s="1"/>
  <c r="K92" i="4"/>
  <c r="L92" i="4" s="1"/>
  <c r="K96" i="4"/>
  <c r="L96" i="4" s="1"/>
  <c r="K100" i="4"/>
  <c r="L100" i="4" s="1"/>
  <c r="K104" i="4"/>
  <c r="L104" i="4" s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7" i="2"/>
  <c r="L115" i="2"/>
  <c r="L117" i="2"/>
  <c r="L112" i="2"/>
  <c r="J15" i="1"/>
  <c r="J13" i="1"/>
  <c r="J17" i="1"/>
  <c r="Q17" i="1"/>
  <c r="S17" i="1"/>
  <c r="P17" i="1"/>
  <c r="K45" i="2" l="1"/>
  <c r="L45" i="2" s="1"/>
  <c r="Y33" i="4"/>
  <c r="AC33" i="4" s="1"/>
  <c r="D39" i="3" s="1"/>
  <c r="Y32" i="4"/>
  <c r="S116" i="4"/>
  <c r="S117" i="4" s="1"/>
  <c r="S112" i="4"/>
  <c r="W112" i="4" s="1"/>
  <c r="S113" i="4"/>
  <c r="W113" i="4" s="1"/>
  <c r="Q96" i="4"/>
  <c r="X19" i="4"/>
  <c r="X21" i="4"/>
  <c r="Y21" i="4" s="1"/>
  <c r="Z21" i="4" s="1"/>
  <c r="Y24" i="4"/>
  <c r="Z24" i="4" s="1"/>
  <c r="X25" i="4"/>
  <c r="Y25" i="4" s="1"/>
  <c r="Z25" i="4" s="1"/>
  <c r="Y14" i="4"/>
  <c r="X16" i="4"/>
  <c r="Y16" i="4" s="1"/>
  <c r="Z16" i="4" s="1"/>
  <c r="X10" i="4"/>
  <c r="Y10" i="4" s="1"/>
  <c r="Z10" i="4" s="1"/>
  <c r="X20" i="4"/>
  <c r="Y20" i="4" s="1"/>
  <c r="Z20" i="4" s="1"/>
  <c r="X18" i="4"/>
  <c r="Y18" i="4" s="1"/>
  <c r="Z18" i="4" s="1"/>
  <c r="X27" i="4"/>
  <c r="Y27" i="4" s="1"/>
  <c r="Z27" i="4" s="1"/>
  <c r="X22" i="4"/>
  <c r="Y22" i="4" s="1"/>
  <c r="Z22" i="4" s="1"/>
  <c r="AD22" i="4" s="1"/>
  <c r="X11" i="4"/>
  <c r="Y11" i="4" s="1"/>
  <c r="Z11" i="4" s="1"/>
  <c r="X8" i="4"/>
  <c r="Y8" i="4" s="1"/>
  <c r="Z8" i="4" s="1"/>
  <c r="X17" i="4"/>
  <c r="Y17" i="4" s="1"/>
  <c r="Z17" i="4" s="1"/>
  <c r="X12" i="4"/>
  <c r="Y12" i="4" s="1"/>
  <c r="Z12" i="4" s="1"/>
  <c r="X15" i="4"/>
  <c r="Y15" i="4" s="1"/>
  <c r="Z15" i="4" s="1"/>
  <c r="X9" i="4"/>
  <c r="Y9" i="4" s="1"/>
  <c r="Z9" i="4" s="1"/>
  <c r="X26" i="4"/>
  <c r="Y26" i="4" s="1"/>
  <c r="Z26" i="4" s="1"/>
  <c r="X28" i="4"/>
  <c r="Y28" i="4" s="1"/>
  <c r="Z28" i="4" s="1"/>
  <c r="X23" i="4"/>
  <c r="Y23" i="4" s="1"/>
  <c r="Z23" i="4" s="1"/>
  <c r="X13" i="4"/>
  <c r="Y13" i="4" s="1"/>
  <c r="Z13" i="4" s="1"/>
  <c r="X7" i="4"/>
  <c r="Y7" i="4" s="1"/>
  <c r="Z7" i="4" s="1"/>
  <c r="M42" i="2"/>
  <c r="N42" i="2" s="1"/>
  <c r="K46" i="2"/>
  <c r="L46" i="2" s="1"/>
  <c r="P112" i="2"/>
  <c r="K47" i="2"/>
  <c r="L47" i="2" s="1"/>
  <c r="M47" i="2"/>
  <c r="N47" i="2" s="1"/>
  <c r="K95" i="2"/>
  <c r="L95" i="2" s="1"/>
  <c r="M46" i="2"/>
  <c r="N46" i="2" s="1"/>
  <c r="K103" i="2"/>
  <c r="L103" i="2" s="1"/>
  <c r="K32" i="2"/>
  <c r="L32" i="2" s="1"/>
  <c r="M51" i="2"/>
  <c r="N51" i="2" s="1"/>
  <c r="K91" i="2"/>
  <c r="L91" i="2" s="1"/>
  <c r="M43" i="2"/>
  <c r="N43" i="2" s="1"/>
  <c r="K93" i="2"/>
  <c r="L93" i="2" s="1"/>
  <c r="M35" i="2"/>
  <c r="N35" i="2" s="1"/>
  <c r="M52" i="2"/>
  <c r="N52" i="2" s="1"/>
  <c r="M36" i="2"/>
  <c r="N36" i="2" s="1"/>
  <c r="K94" i="2"/>
  <c r="L94" i="2" s="1"/>
  <c r="K38" i="2"/>
  <c r="L38" i="2" s="1"/>
  <c r="K39" i="2"/>
  <c r="L39" i="2" s="1"/>
  <c r="P116" i="2"/>
  <c r="K84" i="2"/>
  <c r="L84" i="2" s="1"/>
  <c r="K50" i="2"/>
  <c r="L50" i="2" s="1"/>
  <c r="M32" i="2"/>
  <c r="N32" i="2" s="1"/>
  <c r="M38" i="2"/>
  <c r="N38" i="2" s="1"/>
  <c r="K99" i="2"/>
  <c r="L99" i="2" s="1"/>
  <c r="K98" i="2"/>
  <c r="L98" i="2" s="1"/>
  <c r="K96" i="2"/>
  <c r="L96" i="2" s="1"/>
  <c r="K49" i="2"/>
  <c r="L49" i="2" s="1"/>
  <c r="K101" i="2"/>
  <c r="L101" i="2" s="1"/>
  <c r="K87" i="2"/>
  <c r="L87" i="2" s="1"/>
  <c r="M41" i="2"/>
  <c r="N41" i="2" s="1"/>
  <c r="K48" i="2"/>
  <c r="L48" i="2" s="1"/>
  <c r="M50" i="2"/>
  <c r="N50" i="2" s="1"/>
  <c r="K89" i="2"/>
  <c r="L89" i="2" s="1"/>
  <c r="L126" i="2"/>
  <c r="M53" i="2"/>
  <c r="N53" i="2" s="1"/>
  <c r="M39" i="2"/>
  <c r="N39" i="2" s="1"/>
  <c r="K43" i="2"/>
  <c r="L43" i="2" s="1"/>
  <c r="M40" i="2"/>
  <c r="N40" i="2" s="1"/>
  <c r="K36" i="2"/>
  <c r="L36" i="2" s="1"/>
  <c r="K92" i="2"/>
  <c r="L92" i="2" s="1"/>
  <c r="K85" i="2"/>
  <c r="L85" i="2" s="1"/>
  <c r="K34" i="2"/>
  <c r="L34" i="2" s="1"/>
  <c r="K100" i="2"/>
  <c r="L100" i="2" s="1"/>
  <c r="K42" i="2"/>
  <c r="L42" i="2" s="1"/>
  <c r="M48" i="2"/>
  <c r="N48" i="2" s="1"/>
  <c r="M34" i="2"/>
  <c r="N34" i="2" s="1"/>
  <c r="K33" i="2"/>
  <c r="L33" i="2" s="1"/>
  <c r="M49" i="2"/>
  <c r="N49" i="2" s="1"/>
  <c r="M44" i="2"/>
  <c r="N44" i="2" s="1"/>
  <c r="K41" i="2"/>
  <c r="L41" i="2" s="1"/>
  <c r="K44" i="2"/>
  <c r="L44" i="2" s="1"/>
  <c r="K97" i="2"/>
  <c r="L97" i="2" s="1"/>
  <c r="K104" i="2"/>
  <c r="L104" i="2" s="1"/>
  <c r="K90" i="2"/>
  <c r="L90" i="2" s="1"/>
  <c r="K53" i="2"/>
  <c r="L53" i="2" s="1"/>
  <c r="K102" i="2"/>
  <c r="L102" i="2" s="1"/>
  <c r="K86" i="2"/>
  <c r="L86" i="2" s="1"/>
  <c r="K37" i="2"/>
  <c r="L37" i="2" s="1"/>
  <c r="M45" i="2"/>
  <c r="N45" i="2" s="1"/>
  <c r="K88" i="2"/>
  <c r="L88" i="2" s="1"/>
  <c r="K52" i="2"/>
  <c r="L52" i="2" s="1"/>
  <c r="M37" i="2"/>
  <c r="N37" i="2" s="1"/>
  <c r="K51" i="2"/>
  <c r="L51" i="2" s="1"/>
  <c r="M33" i="2"/>
  <c r="N33" i="2" s="1"/>
  <c r="K35" i="2"/>
  <c r="L35" i="2" s="1"/>
  <c r="K105" i="2"/>
  <c r="L105" i="2" s="1"/>
  <c r="K40" i="2"/>
  <c r="L40" i="2" s="1"/>
  <c r="Y19" i="4" l="1"/>
  <c r="Z19" i="4" s="1"/>
  <c r="AA13" i="4"/>
  <c r="AB13" i="4" s="1"/>
  <c r="AC13" i="4" s="1"/>
  <c r="Z14" i="4"/>
  <c r="AD14" i="4" s="1"/>
  <c r="AC32" i="4"/>
  <c r="AA26" i="4"/>
  <c r="AB26" i="4" s="1"/>
  <c r="AC26" i="4" s="1"/>
  <c r="AD26" i="4"/>
  <c r="AA27" i="4"/>
  <c r="AB27" i="4" s="1"/>
  <c r="AC27" i="4" s="1"/>
  <c r="AD27" i="4"/>
  <c r="AA21" i="4"/>
  <c r="AD21" i="4"/>
  <c r="AA18" i="4"/>
  <c r="AB18" i="4" s="1"/>
  <c r="AC18" i="4" s="1"/>
  <c r="AD18" i="4"/>
  <c r="AA15" i="4"/>
  <c r="AB15" i="4" s="1"/>
  <c r="AC15" i="4" s="1"/>
  <c r="AD15" i="4"/>
  <c r="AA20" i="4"/>
  <c r="AB20" i="4" s="1"/>
  <c r="AC20" i="4" s="1"/>
  <c r="AD20" i="4"/>
  <c r="AA12" i="4"/>
  <c r="AB12" i="4" s="1"/>
  <c r="AC12" i="4" s="1"/>
  <c r="AD12" i="4"/>
  <c r="AA10" i="4"/>
  <c r="AB10" i="4" s="1"/>
  <c r="AC10" i="4" s="1"/>
  <c r="AD10" i="4"/>
  <c r="AA7" i="4"/>
  <c r="AB7" i="4" s="1"/>
  <c r="AC7" i="4" s="1"/>
  <c r="AD7" i="4"/>
  <c r="AA17" i="4"/>
  <c r="AB17" i="4" s="1"/>
  <c r="AC17" i="4" s="1"/>
  <c r="AD17" i="4"/>
  <c r="AA16" i="4"/>
  <c r="AB16" i="4" s="1"/>
  <c r="AC16" i="4" s="1"/>
  <c r="AD16" i="4"/>
  <c r="AA8" i="4"/>
  <c r="AB8" i="4" s="1"/>
  <c r="AC8" i="4" s="1"/>
  <c r="AD8" i="4"/>
  <c r="AA23" i="4"/>
  <c r="AB23" i="4" s="1"/>
  <c r="AC23" i="4" s="1"/>
  <c r="AD23" i="4"/>
  <c r="AA11" i="4"/>
  <c r="AB11" i="4" s="1"/>
  <c r="AC11" i="4" s="1"/>
  <c r="AD11" i="4"/>
  <c r="AA25" i="4"/>
  <c r="AB25" i="4" s="1"/>
  <c r="AC25" i="4" s="1"/>
  <c r="AD25" i="4"/>
  <c r="AA28" i="4"/>
  <c r="AB28" i="4" s="1"/>
  <c r="AC28" i="4" s="1"/>
  <c r="AD28" i="4"/>
  <c r="AA24" i="4"/>
  <c r="AB24" i="4" s="1"/>
  <c r="AC24" i="4" s="1"/>
  <c r="AD24" i="4"/>
  <c r="AA9" i="4"/>
  <c r="AB9" i="4" s="1"/>
  <c r="AC9" i="4" s="1"/>
  <c r="AD9" i="4"/>
  <c r="AA22" i="4"/>
  <c r="AB22" i="4" s="1"/>
  <c r="AC22" i="4" s="1"/>
  <c r="AE22" i="4" s="1"/>
  <c r="AF22" i="4" s="1"/>
  <c r="S122" i="4"/>
  <c r="S119" i="4"/>
  <c r="L127" i="4" s="1"/>
  <c r="S118" i="4"/>
  <c r="S123" i="4"/>
  <c r="S121" i="4"/>
  <c r="S113" i="2"/>
  <c r="V113" i="2" s="1"/>
  <c r="S112" i="2"/>
  <c r="V112" i="2" s="1"/>
  <c r="S116" i="2"/>
  <c r="AA19" i="4" l="1"/>
  <c r="AB19" i="4" s="1"/>
  <c r="AC19" i="4" s="1"/>
  <c r="AD19" i="4"/>
  <c r="AA14" i="4"/>
  <c r="AB14" i="4" s="1"/>
  <c r="AD13" i="4"/>
  <c r="AE13" i="4" s="1"/>
  <c r="AF13" i="4" s="1"/>
  <c r="AG13" i="4" s="1"/>
  <c r="AH13" i="4" s="1"/>
  <c r="D40" i="3"/>
  <c r="AB21" i="4"/>
  <c r="AC21" i="4" s="1"/>
  <c r="AE21" i="4" s="1"/>
  <c r="AF21" i="4" s="1"/>
  <c r="AG21" i="4" s="1"/>
  <c r="AH21" i="4" s="1"/>
  <c r="AE9" i="4"/>
  <c r="AF9" i="4" s="1"/>
  <c r="AG9" i="4" s="1"/>
  <c r="AH9" i="4" s="1"/>
  <c r="AE11" i="4"/>
  <c r="AF11" i="4" s="1"/>
  <c r="AG11" i="4" s="1"/>
  <c r="AH11" i="4" s="1"/>
  <c r="AE10" i="4"/>
  <c r="AF10" i="4" s="1"/>
  <c r="AG10" i="4" s="1"/>
  <c r="AH10" i="4" s="1"/>
  <c r="AE8" i="4"/>
  <c r="AF8" i="4" s="1"/>
  <c r="AG8" i="4" s="1"/>
  <c r="AH8" i="4" s="1"/>
  <c r="AE7" i="4"/>
  <c r="AE27" i="4"/>
  <c r="AF27" i="4" s="1"/>
  <c r="AG27" i="4" s="1"/>
  <c r="AH27" i="4" s="1"/>
  <c r="AE25" i="4"/>
  <c r="AF25" i="4" s="1"/>
  <c r="AG25" i="4" s="1"/>
  <c r="AH25" i="4" s="1"/>
  <c r="AE15" i="4"/>
  <c r="AF15" i="4" s="1"/>
  <c r="AG15" i="4" s="1"/>
  <c r="AH15" i="4" s="1"/>
  <c r="AE26" i="4"/>
  <c r="AF26" i="4" s="1"/>
  <c r="AG26" i="4" s="1"/>
  <c r="AH26" i="4" s="1"/>
  <c r="AE24" i="4"/>
  <c r="AF24" i="4" s="1"/>
  <c r="AG24" i="4" s="1"/>
  <c r="AH24" i="4" s="1"/>
  <c r="AE28" i="4"/>
  <c r="AF28" i="4" s="1"/>
  <c r="AG28" i="4" s="1"/>
  <c r="AH28" i="4" s="1"/>
  <c r="AE17" i="4"/>
  <c r="AF17" i="4" s="1"/>
  <c r="AG17" i="4" s="1"/>
  <c r="AH17" i="4" s="1"/>
  <c r="AE20" i="4"/>
  <c r="AF20" i="4" s="1"/>
  <c r="AG20" i="4" s="1"/>
  <c r="AH20" i="4" s="1"/>
  <c r="AE16" i="4"/>
  <c r="AF16" i="4" s="1"/>
  <c r="AG16" i="4" s="1"/>
  <c r="AH16" i="4" s="1"/>
  <c r="AE12" i="4"/>
  <c r="AF12" i="4" s="1"/>
  <c r="AG12" i="4" s="1"/>
  <c r="AH12" i="4" s="1"/>
  <c r="AE23" i="4"/>
  <c r="AF23" i="4" s="1"/>
  <c r="AG23" i="4" s="1"/>
  <c r="AH23" i="4" s="1"/>
  <c r="AE18" i="4"/>
  <c r="AF18" i="4" s="1"/>
  <c r="AG18" i="4" s="1"/>
  <c r="AH18" i="4" s="1"/>
  <c r="AG22" i="4"/>
  <c r="AH22" i="4" s="1"/>
  <c r="D40" i="1"/>
  <c r="S17" i="3"/>
  <c r="B39" i="1"/>
  <c r="G38" i="1" s="1"/>
  <c r="B39" i="3"/>
  <c r="G38" i="3" s="1"/>
  <c r="L128" i="4"/>
  <c r="S119" i="2"/>
  <c r="L127" i="2" s="1"/>
  <c r="S117" i="2"/>
  <c r="S121" i="2"/>
  <c r="S122" i="2"/>
  <c r="S118" i="2"/>
  <c r="S123" i="2"/>
  <c r="AE19" i="4" l="1"/>
  <c r="AF19" i="4" s="1"/>
  <c r="AG19" i="4" s="1"/>
  <c r="AH19" i="4" s="1"/>
  <c r="G39" i="3"/>
  <c r="AF7" i="4"/>
  <c r="AG7" i="4" s="1"/>
  <c r="AH7" i="4" s="1"/>
  <c r="AC14" i="4"/>
  <c r="AE14" i="4" s="1"/>
  <c r="AF14" i="4" s="1"/>
  <c r="AG14" i="4" s="1"/>
  <c r="AH14" i="4" s="1"/>
  <c r="D39" i="1"/>
  <c r="G39" i="1" s="1"/>
  <c r="P17" i="3"/>
  <c r="L129" i="4"/>
  <c r="L130" i="4" s="1"/>
  <c r="M134" i="4" s="1"/>
  <c r="Q134" i="4" s="1"/>
  <c r="U134" i="4" s="1"/>
  <c r="S136" i="4" s="1"/>
  <c r="S120" i="4" s="1"/>
  <c r="L128" i="2"/>
  <c r="AJ5" i="4" l="1"/>
  <c r="L129" i="2"/>
  <c r="L130" i="2" s="1"/>
  <c r="AI27" i="4" l="1"/>
  <c r="AJ27" i="4" s="1"/>
  <c r="AK27" i="4" s="1"/>
  <c r="AI9" i="4"/>
  <c r="AJ9" i="4" s="1"/>
  <c r="AK9" i="4" s="1"/>
  <c r="AI24" i="4"/>
  <c r="AJ24" i="4" s="1"/>
  <c r="AK24" i="4" s="1"/>
  <c r="AI22" i="4"/>
  <c r="AJ22" i="4" s="1"/>
  <c r="AK22" i="4" s="1"/>
  <c r="AI17" i="4"/>
  <c r="AJ17" i="4" s="1"/>
  <c r="AK17" i="4" s="1"/>
  <c r="AI15" i="4"/>
  <c r="AJ15" i="4" s="1"/>
  <c r="AK15" i="4" s="1"/>
  <c r="AI21" i="4"/>
  <c r="AJ21" i="4" s="1"/>
  <c r="AK21" i="4" s="1"/>
  <c r="AI12" i="4"/>
  <c r="AJ12" i="4" s="1"/>
  <c r="AK12" i="4" s="1"/>
  <c r="AI19" i="4"/>
  <c r="AJ19" i="4" s="1"/>
  <c r="AK19" i="4" s="1"/>
  <c r="AI20" i="4"/>
  <c r="AJ20" i="4" s="1"/>
  <c r="AK20" i="4" s="1"/>
  <c r="AI18" i="4"/>
  <c r="AJ18" i="4" s="1"/>
  <c r="AK18" i="4" s="1"/>
  <c r="AI28" i="4"/>
  <c r="AJ28" i="4" s="1"/>
  <c r="AK28" i="4" s="1"/>
  <c r="AI13" i="4"/>
  <c r="AJ13" i="4" s="1"/>
  <c r="AK13" i="4" s="1"/>
  <c r="AI10" i="4"/>
  <c r="AJ10" i="4" s="1"/>
  <c r="AK10" i="4" s="1"/>
  <c r="AI25" i="4"/>
  <c r="AJ25" i="4" s="1"/>
  <c r="AK25" i="4" s="1"/>
  <c r="AI11" i="4"/>
  <c r="AJ11" i="4" s="1"/>
  <c r="AK11" i="4" s="1"/>
  <c r="AI26" i="4"/>
  <c r="AJ26" i="4" s="1"/>
  <c r="AK26" i="4" s="1"/>
  <c r="AI14" i="4"/>
  <c r="AJ14" i="4" s="1"/>
  <c r="AK14" i="4" s="1"/>
  <c r="AI16" i="4"/>
  <c r="AJ16" i="4" s="1"/>
  <c r="AK16" i="4" s="1"/>
  <c r="AI23" i="4"/>
  <c r="AJ23" i="4" s="1"/>
  <c r="AK23" i="4" s="1"/>
  <c r="AI8" i="4"/>
  <c r="AJ8" i="4" s="1"/>
  <c r="AK8" i="4" s="1"/>
  <c r="AI7" i="4"/>
  <c r="AJ7" i="4" s="1"/>
  <c r="M134" i="2"/>
  <c r="Q134" i="2" s="1"/>
  <c r="T134" i="2" s="1"/>
  <c r="S136" i="2" s="1"/>
  <c r="Y36" i="4" l="1"/>
  <c r="AK7" i="4"/>
  <c r="S120" i="2"/>
  <c r="Z36" i="4" l="1"/>
  <c r="Y37" i="4"/>
  <c r="Y39" i="4"/>
  <c r="Y38" i="4"/>
  <c r="Y40" i="4"/>
  <c r="Y41" i="4"/>
  <c r="Y42" i="4"/>
  <c r="Y43" i="4"/>
  <c r="V32" i="4"/>
  <c r="F47" i="1"/>
  <c r="F48" i="1" s="1"/>
  <c r="G41" i="1" s="1"/>
  <c r="F47" i="3" l="1"/>
  <c r="F48" i="3" s="1"/>
  <c r="G41" i="3" s="1"/>
  <c r="E47" i="3" s="1"/>
  <c r="J24" i="1"/>
  <c r="J24" i="3" l="1"/>
  <c r="F50" i="3"/>
  <c r="O50" i="3" s="1"/>
  <c r="J19" i="3" s="1"/>
  <c r="D47" i="3"/>
  <c r="C47" i="3"/>
  <c r="L50" i="3" s="1"/>
  <c r="D51" i="3" s="1"/>
  <c r="B46" i="3"/>
  <c r="I45" i="3"/>
  <c r="E47" i="1"/>
  <c r="I45" i="1"/>
  <c r="C47" i="1"/>
  <c r="L50" i="1" s="1"/>
  <c r="D51" i="1" s="1"/>
  <c r="B46" i="1"/>
  <c r="D47" i="1"/>
  <c r="F50" i="1"/>
  <c r="O50" i="1" s="1"/>
  <c r="J19" i="1" s="1"/>
  <c r="E51" i="3" l="1"/>
  <c r="E50" i="3"/>
  <c r="D50" i="3" s="1"/>
  <c r="L22" i="3" s="1"/>
  <c r="L51" i="3"/>
  <c r="H51" i="3"/>
  <c r="E51" i="1"/>
  <c r="E50" i="1"/>
  <c r="H51" i="1"/>
  <c r="L51" i="1"/>
  <c r="N22" i="3" l="1"/>
  <c r="O22" i="3"/>
  <c r="J25" i="3" s="1"/>
  <c r="D50" i="1"/>
  <c r="L22" i="1" s="1"/>
  <c r="O22" i="1"/>
  <c r="J25" i="1" s="1"/>
  <c r="N22" i="1"/>
</calcChain>
</file>

<file path=xl/sharedStrings.xml><?xml version="1.0" encoding="utf-8"?>
<sst xmlns="http://schemas.openxmlformats.org/spreadsheetml/2006/main" count="584" uniqueCount="238">
  <si>
    <t>Tolérances</t>
  </si>
  <si>
    <t>Mini (mm)</t>
  </si>
  <si>
    <t>Maxi (mm)</t>
  </si>
  <si>
    <t>mm</t>
  </si>
  <si>
    <t>Paroi</t>
  </si>
  <si>
    <t>Canalisation</t>
  </si>
  <si>
    <t>Øorifice paroi</t>
  </si>
  <si>
    <t>Øext</t>
  </si>
  <si>
    <t>Ep paroi</t>
  </si>
  <si>
    <t>DN</t>
  </si>
  <si>
    <t>Ø perçage connu</t>
  </si>
  <si>
    <t>de 10 en 10</t>
  </si>
  <si>
    <t>de Ø200 à 350 :</t>
  </si>
  <si>
    <t>200 - 230 - 250 - 300 - 350</t>
  </si>
  <si>
    <t>de Ø50 à 180 :</t>
  </si>
  <si>
    <t>Pour Info : Carotteuse SPIT :</t>
  </si>
  <si>
    <t xml:space="preserve">Tolérance sur R : </t>
  </si>
  <si>
    <t>mini (mm)</t>
  </si>
  <si>
    <t>maxi (mm)</t>
  </si>
  <si>
    <t>Long elt</t>
  </si>
  <si>
    <t>R</t>
  </si>
  <si>
    <t>Epaisseur Paroi :</t>
  </si>
  <si>
    <t>Résultat intermédiaire</t>
  </si>
  <si>
    <t>Øext canalisation :</t>
  </si>
  <si>
    <t>Nettoyer</t>
  </si>
  <si>
    <t>Ctrl + w</t>
  </si>
  <si>
    <t xml:space="preserve"> CHOIX Øorifice paroi </t>
  </si>
  <si>
    <t xml:space="preserve"> mini :</t>
  </si>
  <si>
    <t>maxi :</t>
  </si>
  <si>
    <t>Pour info : Tolérances Øorifice</t>
  </si>
  <si>
    <t>NBRE ELEMENTS</t>
  </si>
  <si>
    <t xml:space="preserve">avant de lancer un calcul vérifier que les 3 cellules grisées sont vides - Soit le faire manuellement ou taper </t>
  </si>
  <si>
    <r>
      <t xml:space="preserve"> 3 </t>
    </r>
    <r>
      <rPr>
        <b/>
        <sz val="14"/>
        <color indexed="18"/>
        <rFont val="Arial"/>
        <family val="2"/>
      </rPr>
      <t>: Choisir Øorifice de paroi</t>
    </r>
  </si>
  <si>
    <r>
      <t>1</t>
    </r>
    <r>
      <rPr>
        <b/>
        <sz val="14"/>
        <color indexed="18"/>
        <rFont val="Arial"/>
        <family val="2"/>
      </rPr>
      <t xml:space="preserve"> : Entrer le Øext canalisation</t>
    </r>
  </si>
  <si>
    <r>
      <t>2</t>
    </r>
    <r>
      <rPr>
        <b/>
        <sz val="14"/>
        <color indexed="18"/>
        <rFont val="Arial"/>
        <family val="2"/>
      </rPr>
      <t xml:space="preserve"> : Entrer Epaisseur paroi</t>
    </r>
  </si>
  <si>
    <t>Nbre mini IL</t>
  </si>
  <si>
    <t>Tab / Ø cana mini</t>
  </si>
  <si>
    <t>Ref</t>
  </si>
  <si>
    <t>Tab / Ref IL</t>
  </si>
  <si>
    <t>Ø cana</t>
  </si>
  <si>
    <t>Ø orifice</t>
  </si>
  <si>
    <t>Epaisseur paroi</t>
  </si>
  <si>
    <t>dans Tab / Ø cana mini</t>
  </si>
  <si>
    <t>Tab /Tol mini</t>
  </si>
  <si>
    <t>Tab /  Tol maxi</t>
  </si>
  <si>
    <t>tol max /IL</t>
  </si>
  <si>
    <t>Epaisseur max IL possible</t>
  </si>
  <si>
    <t>Ø orifice max</t>
  </si>
  <si>
    <t>tol mini/IL</t>
  </si>
  <si>
    <t>1 = Oui      100 = NON</t>
  </si>
  <si>
    <t>1 = Oui          0 = NON</t>
  </si>
  <si>
    <t>Ø orifice mini</t>
  </si>
  <si>
    <t>Epaisseur mini IL possible</t>
  </si>
  <si>
    <t>Tolérance sur R</t>
  </si>
  <si>
    <t>IL avec Ø cana max</t>
  </si>
  <si>
    <t>dans Tab / tol mini</t>
  </si>
  <si>
    <t>Tolérances mini IL possible</t>
  </si>
  <si>
    <t>Tolérances mini</t>
  </si>
  <si>
    <t>Tolérances maxi</t>
  </si>
  <si>
    <t>Long Elément</t>
  </si>
  <si>
    <t>Largeur paroi mini</t>
  </si>
  <si>
    <t>Calcul nbre de maillons</t>
  </si>
  <si>
    <t>circonférence Fneutre</t>
  </si>
  <si>
    <t>Nbre maillon Théorique</t>
  </si>
  <si>
    <t>arrondi inf</t>
  </si>
  <si>
    <t>Tab / Ø cana max</t>
  </si>
  <si>
    <t>Test IL Possible en fct du Ø cana mini et maxi</t>
  </si>
  <si>
    <t>Couple Nm</t>
  </si>
  <si>
    <t>Nombre de maillons mini</t>
  </si>
  <si>
    <t>Couple de Serrage</t>
  </si>
  <si>
    <t>Couple de Serrage (Nm) :</t>
  </si>
  <si>
    <t>Test compatibilité réf</t>
  </si>
  <si>
    <t>Nbre Maillons total</t>
  </si>
  <si>
    <t>Nm</t>
  </si>
  <si>
    <t>poids</t>
  </si>
  <si>
    <t>lbs</t>
  </si>
  <si>
    <t>kg</t>
  </si>
  <si>
    <t>Poids (kg) :</t>
  </si>
  <si>
    <t>Poids/maillon</t>
  </si>
  <si>
    <t>Long unitaire</t>
  </si>
  <si>
    <t>Epaisseur paroi mini</t>
  </si>
  <si>
    <t>Définition PRESSIO Elément</t>
  </si>
  <si>
    <t>Définition du PRESSIO Elément - "PAS à PAS"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</si>
  <si>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 (0,5)</t>
    </r>
  </si>
  <si>
    <t>Plages utilisation</t>
  </si>
  <si>
    <t>largeur paroi mini</t>
  </si>
  <si>
    <t>Øcanalisation</t>
  </si>
  <si>
    <t>Caractéristiques IS - IL</t>
  </si>
  <si>
    <t xml:space="preserve">PRESSIO  à Commander </t>
  </si>
  <si>
    <t>a mettre a jour</t>
  </si>
  <si>
    <t>Référence finale PRESSIO :</t>
  </si>
  <si>
    <t xml:space="preserve">JOINT DE TRAVERSEE DE PAROI  PRESSIO EP. </t>
  </si>
  <si>
    <t>Ep mini IL - IS (mm)</t>
  </si>
  <si>
    <t>Vérification Calcul</t>
  </si>
  <si>
    <t>Référence IL/IS</t>
  </si>
  <si>
    <t>Périmètre fibre Neutre IL/IS calculé</t>
  </si>
  <si>
    <t>MAJ 28/06/2018</t>
  </si>
  <si>
    <t xml:space="preserve"> ---&gt;          Ø fibre Neutre IL/IS calculé</t>
  </si>
  <si>
    <t>--&gt; Ø min carottage</t>
  </si>
  <si>
    <t>Test</t>
  </si>
  <si>
    <t>Version du 28-06-2018</t>
  </si>
  <si>
    <t>Tableau de Test</t>
  </si>
  <si>
    <t>Test 1</t>
  </si>
  <si>
    <t>Espace annulaire</t>
  </si>
  <si>
    <t>Donnée calcul</t>
  </si>
  <si>
    <t>Dint</t>
  </si>
  <si>
    <t>Dext</t>
  </si>
  <si>
    <t>Espace Annulaire</t>
  </si>
  <si>
    <t>Fibre neutre</t>
  </si>
  <si>
    <t>Périmètre FI neutre</t>
  </si>
  <si>
    <t>Test 2</t>
  </si>
  <si>
    <t>Diamètre Cana ext compatible</t>
  </si>
  <si>
    <t>Epaisseur Paroi</t>
  </si>
  <si>
    <t>Test 3</t>
  </si>
  <si>
    <t>Test4</t>
  </si>
  <si>
    <t>Nb de maillon théorique</t>
  </si>
  <si>
    <t>Partie entiere</t>
  </si>
  <si>
    <t>Partie decimale</t>
  </si>
  <si>
    <t>NB element Arrondi</t>
  </si>
  <si>
    <t>Nouveau périmèetre fibre neutre</t>
  </si>
  <si>
    <t>Diamètre exterieur élement</t>
  </si>
  <si>
    <t>Resultat test</t>
  </si>
  <si>
    <t>Total test</t>
  </si>
  <si>
    <t>Nb de test OK</t>
  </si>
  <si>
    <t xml:space="preserve">Tout test Ok </t>
  </si>
  <si>
    <t>Référence OK</t>
  </si>
  <si>
    <t>Espace annulaire mini</t>
  </si>
  <si>
    <t>Jeux Annulaire mini</t>
  </si>
  <si>
    <t>Test 5</t>
  </si>
  <si>
    <t>Nb element mini</t>
  </si>
  <si>
    <t>Essai calcul SP</t>
  </si>
  <si>
    <t>Nb element</t>
  </si>
  <si>
    <t>NB elemment</t>
  </si>
  <si>
    <t>Meilleur choix (Jeu espace annulaire OK )</t>
  </si>
  <si>
    <t xml:space="preserve">Configuration </t>
  </si>
  <si>
    <t>Diamètre INT</t>
  </si>
  <si>
    <t>Diametre ext cana</t>
  </si>
  <si>
    <t>Validée O/N</t>
  </si>
  <si>
    <t>Visa</t>
  </si>
  <si>
    <t>Solution Proposée</t>
  </si>
  <si>
    <t>O</t>
  </si>
  <si>
    <t>IL300E18</t>
  </si>
  <si>
    <t>SP/EG</t>
  </si>
  <si>
    <t>date</t>
  </si>
  <si>
    <t>IL475E30</t>
  </si>
  <si>
    <t>EG</t>
  </si>
  <si>
    <t>IL300E11</t>
  </si>
  <si>
    <t>SP/FP</t>
  </si>
  <si>
    <t>Jeu interne au rayon 3,8 OK</t>
  </si>
  <si>
    <t>IL425E16</t>
  </si>
  <si>
    <t>Øint 701 ok</t>
  </si>
  <si>
    <t>Øint502 ok : jeu annulaire 5mm donc ok</t>
  </si>
  <si>
    <t>pareil que ci-dessus</t>
  </si>
  <si>
    <t>IL315E18</t>
  </si>
  <si>
    <t>au lieu de 19 élément, ce qui est trop sérré , selon 4p, se monte dans une cana de 245 à 251</t>
  </si>
  <si>
    <t>FPH</t>
  </si>
  <si>
    <t>IL410E7 ou E8</t>
  </si>
  <si>
    <t>en situation réelle le client a posé un IL410E7 car avec 8 éléments n'a pas réussi à faire rentrer le joint</t>
  </si>
  <si>
    <t>IL315E15</t>
  </si>
  <si>
    <t>SP</t>
  </si>
  <si>
    <t>Dia ext 202,61 , Dia int 159,8mm 3,8 de jeu au diamètre. Élement juste juste. Montage force devrait être OK</t>
  </si>
  <si>
    <t>pour info nouveau cas le 30/11/18</t>
  </si>
  <si>
    <t>IL325E9</t>
  </si>
  <si>
    <t>Jeu interne de 1,8 OK config valide</t>
  </si>
  <si>
    <t>IL265E25</t>
  </si>
  <si>
    <t>Jeu interne de 1,5 OK config valide</t>
  </si>
  <si>
    <t>XXXX</t>
  </si>
  <si>
    <t>N</t>
  </si>
  <si>
    <t>Proposer carottage à 250</t>
  </si>
  <si>
    <t>IL200E13</t>
  </si>
  <si>
    <t>OK mais pressio monté sérré sur Cana</t>
  </si>
  <si>
    <t>Voir Pressio steel PS080E040</t>
  </si>
  <si>
    <t>Voit Passe cable PSC100E063</t>
  </si>
  <si>
    <t>IL265E10</t>
  </si>
  <si>
    <t>jeu interne  1,85</t>
  </si>
  <si>
    <t>IL650E10</t>
  </si>
  <si>
    <t>Jeu Interne 1,5</t>
  </si>
  <si>
    <t>IL500E06</t>
  </si>
  <si>
    <t>D ext 251, espace annulaire avec de la marge</t>
  </si>
  <si>
    <t>IL275E13</t>
  </si>
  <si>
    <t>Dext 123, espace annulaire de 1</t>
  </si>
  <si>
    <t>IL200E25</t>
  </si>
  <si>
    <t>Dext 251 , il peut au prire enlever un element sans trop de soucis pour que ça marche</t>
  </si>
  <si>
    <t>IL315 E7</t>
  </si>
  <si>
    <t>espace annulaire : seulement 1 mm</t>
  </si>
  <si>
    <t>IL265E9</t>
  </si>
  <si>
    <t>validé par 4 pipe, probablment bien difficilie à installer</t>
  </si>
  <si>
    <t>IL265E11</t>
  </si>
  <si>
    <t>MA</t>
  </si>
  <si>
    <t>espace annulaire de 1,5mm, ok diamètre extérieur du pressio</t>
  </si>
  <si>
    <t>beaucoup d'élément, juste 1,5mm de trop, approuvé par 4pipe</t>
  </si>
  <si>
    <t>IL222E25</t>
  </si>
  <si>
    <t>pareil que ci-dessus, approuvé par 4 pipe</t>
  </si>
  <si>
    <t>IL265E23</t>
  </si>
  <si>
    <t>MA/EG</t>
  </si>
  <si>
    <t>IL325E15</t>
  </si>
  <si>
    <t>dépasse de 0,5au Ø, il y a 15 éléments et 4 mm de marge sur le diamètre int</t>
  </si>
  <si>
    <t>xxx</t>
  </si>
  <si>
    <t>Pas possible espace annulaire trop petit (mini 9mm)</t>
  </si>
  <si>
    <t>IL200E9</t>
  </si>
  <si>
    <t>Jeux annulaire de 2,2mm</t>
  </si>
  <si>
    <t>meme que avec le 219</t>
  </si>
  <si>
    <t>IL100E13</t>
  </si>
  <si>
    <t>jeux annulaire de 1,1mm</t>
  </si>
  <si>
    <t>IL100E14</t>
  </si>
  <si>
    <t>D ext 147,7</t>
  </si>
  <si>
    <t>épaisseur avec 2mm de marge, attention montage difficile probable</t>
  </si>
  <si>
    <t>IL325E21</t>
  </si>
  <si>
    <t>IL315E10</t>
  </si>
  <si>
    <t>arrondi de 0,58, le client peut enlever un élément si il y en a trop (4pipe seulement 9 éléments)</t>
  </si>
  <si>
    <t>IL325E17</t>
  </si>
  <si>
    <t xml:space="preserve">O </t>
  </si>
  <si>
    <t>IL265E7</t>
  </si>
  <si>
    <t>jeux annulaire de 1mm</t>
  </si>
  <si>
    <t>IL100E15</t>
  </si>
  <si>
    <t>un peu sérré sur la canalisation</t>
  </si>
  <si>
    <t>IL315E11</t>
  </si>
  <si>
    <t>montage sérré sur la canalisation</t>
  </si>
  <si>
    <t>IL200E5</t>
  </si>
  <si>
    <t>montage sérré,  D ext 60,27mm, espace annulaire de 1,5mm</t>
  </si>
  <si>
    <t>comme pour le 429, fonte 400</t>
  </si>
  <si>
    <t>IL315E24</t>
  </si>
  <si>
    <t>0,5 arrondi à l'inférieur (marche pour 272,8)</t>
  </si>
  <si>
    <t>IL100E9</t>
  </si>
  <si>
    <t>Dint 78,95mm, espace annulaire 1mm</t>
  </si>
  <si>
    <t>IL500E17</t>
  </si>
  <si>
    <t>d ext a 600/601</t>
  </si>
  <si>
    <t>IL265E21</t>
  </si>
  <si>
    <t>d ext 290, marge suffisante intérieure</t>
  </si>
  <si>
    <t>un peu serré</t>
  </si>
  <si>
    <t>limite, sur devis</t>
  </si>
  <si>
    <t>IL100E6 limite</t>
  </si>
  <si>
    <t>03/12/2018- 26/08/20</t>
  </si>
  <si>
    <t>PSS SPC 43861</t>
  </si>
  <si>
    <t>IL275E5</t>
  </si>
  <si>
    <t>montage sérré</t>
  </si>
  <si>
    <t>profondeur gomme</t>
  </si>
  <si>
    <t>Version du 05-04-22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</si>
</sst>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164" formatCode="\I\L0"/>
    <numFmt numFmtId="165" formatCode="0.000"/>
    <numFmt numFmtId="166" formatCode="0.0000"/>
    <numFmt numFmtId="167" formatCode="0.0"/>
    <numFmt numFmtId="168" formatCode="#,###&quot;E&quot;"/>
    <numFmt numFmtId="169" formatCode="\-\ 0"/>
    <numFmt numFmtId="170" formatCode="###&quot;E&quot;"/>
    <numFmt numFmtId="171" formatCode="0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55"/>
      <name val="Arial"/>
      <family val="2"/>
    </font>
    <font>
      <b/>
      <sz val="16"/>
      <color indexed="18"/>
      <name val="Arial"/>
      <family val="2"/>
    </font>
    <font>
      <b/>
      <sz val="14"/>
      <color indexed="9"/>
      <name val="Arial"/>
      <family val="2"/>
    </font>
    <font>
      <b/>
      <sz val="20"/>
      <color indexed="18"/>
      <name val="Arial"/>
      <family val="2"/>
    </font>
    <font>
      <sz val="20"/>
      <color indexed="18"/>
      <name val="Arial"/>
      <family val="2"/>
    </font>
    <font>
      <b/>
      <i/>
      <sz val="18"/>
      <color indexed="18"/>
      <name val="Arial"/>
      <family val="2"/>
    </font>
    <font>
      <b/>
      <sz val="10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b/>
      <sz val="20"/>
      <color indexed="9"/>
      <name val="Arial"/>
      <family val="2"/>
    </font>
    <font>
      <b/>
      <sz val="18"/>
      <color indexed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FF0000"/>
      <name val="Arial"/>
      <family val="2"/>
    </font>
    <font>
      <sz val="24"/>
      <color rgb="FFFF000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2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/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53"/>
      </right>
      <top style="medium">
        <color indexed="53"/>
      </top>
      <bottom/>
      <diagonal/>
    </border>
    <border>
      <left style="medium">
        <color indexed="64"/>
      </left>
      <right style="thin">
        <color indexed="53"/>
      </right>
      <top/>
      <bottom style="thin">
        <color indexed="53"/>
      </bottom>
      <diagonal/>
    </border>
    <border>
      <left style="medium">
        <color indexed="64"/>
      </left>
      <right style="thin">
        <color indexed="53"/>
      </right>
      <top style="thin">
        <color indexed="53"/>
      </top>
      <bottom/>
      <diagonal/>
    </border>
    <border>
      <left style="medium">
        <color indexed="64"/>
      </left>
      <right style="thin">
        <color indexed="53"/>
      </right>
      <top/>
      <bottom/>
      <diagonal/>
    </border>
    <border>
      <left/>
      <right/>
      <top/>
      <bottom style="thin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/>
      <top/>
      <bottom/>
      <diagonal/>
    </border>
    <border>
      <left style="thin">
        <color indexed="53"/>
      </left>
      <right/>
      <top/>
      <bottom style="thin">
        <color indexed="5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medium">
        <color indexed="64"/>
      </right>
      <top style="thin">
        <color indexed="53"/>
      </top>
      <bottom style="thin">
        <color indexed="5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53"/>
      </top>
      <bottom/>
      <diagonal/>
    </border>
    <border>
      <left style="medium">
        <color indexed="53"/>
      </left>
      <right/>
      <top style="medium">
        <color indexed="53"/>
      </top>
      <bottom/>
      <diagonal/>
    </border>
    <border>
      <left style="medium">
        <color indexed="64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53"/>
      </top>
      <bottom/>
      <diagonal/>
    </border>
    <border>
      <left style="thin">
        <color indexed="64"/>
      </left>
      <right style="thin">
        <color indexed="64"/>
      </right>
      <top style="thin">
        <color indexed="53"/>
      </top>
      <bottom/>
      <diagonal/>
    </border>
    <border>
      <left style="thin">
        <color indexed="64"/>
      </left>
      <right style="thin">
        <color indexed="53"/>
      </right>
      <top style="thin">
        <color indexed="5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 style="thin">
        <color indexed="53"/>
      </top>
      <bottom/>
      <diagonal/>
    </border>
    <border>
      <left/>
      <right/>
      <top style="thin">
        <color indexed="53"/>
      </top>
      <bottom/>
      <diagonal/>
    </border>
    <border>
      <left/>
      <right style="thin">
        <color indexed="53"/>
      </right>
      <top style="thin">
        <color indexed="53"/>
      </top>
      <bottom/>
      <diagonal/>
    </border>
    <border>
      <left style="medium">
        <color indexed="64"/>
      </left>
      <right/>
      <top style="medium">
        <color indexed="53"/>
      </top>
      <bottom/>
      <diagonal/>
    </border>
    <border>
      <left/>
      <right style="thin">
        <color indexed="64"/>
      </right>
      <top/>
      <bottom style="thin">
        <color indexed="53"/>
      </bottom>
      <diagonal/>
    </border>
    <border>
      <left style="thin">
        <color indexed="64"/>
      </left>
      <right style="thin">
        <color indexed="53"/>
      </right>
      <top/>
      <bottom style="thin">
        <color indexed="53"/>
      </bottom>
      <diagonal/>
    </border>
    <border>
      <left style="medium">
        <color indexed="64"/>
      </left>
      <right/>
      <top style="medium">
        <color indexed="53"/>
      </top>
      <bottom style="medium">
        <color indexed="53"/>
      </bottom>
      <diagonal/>
    </border>
    <border>
      <left style="thin">
        <color indexed="53"/>
      </left>
      <right/>
      <top style="medium">
        <color indexed="53"/>
      </top>
      <bottom/>
      <diagonal/>
    </border>
    <border>
      <left/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64"/>
      </right>
      <top style="thin">
        <color indexed="53"/>
      </top>
      <bottom style="thin">
        <color indexed="53"/>
      </bottom>
      <diagonal/>
    </border>
    <border>
      <left style="thin">
        <color indexed="64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/>
      <top/>
      <bottom/>
      <diagonal/>
    </border>
    <border>
      <left/>
      <right style="medium">
        <color indexed="5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medium">
        <color indexed="64"/>
      </right>
      <top style="thin">
        <color indexed="53"/>
      </top>
      <bottom style="thin">
        <color indexed="53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indexed="64"/>
      </left>
      <right/>
      <top style="medium">
        <color rgb="FFFF6600"/>
      </top>
      <bottom style="medium">
        <color rgb="FFFF66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" fontId="10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/>
    <xf numFmtId="0" fontId="3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7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left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7" fillId="3" borderId="2" xfId="0" applyFont="1" applyFill="1" applyBorder="1" applyAlignment="1"/>
    <xf numFmtId="0" fontId="17" fillId="3" borderId="0" xfId="0" applyFont="1" applyFill="1" applyBorder="1" applyAlignment="1"/>
    <xf numFmtId="0" fontId="17" fillId="3" borderId="3" xfId="0" applyFont="1" applyFill="1" applyBorder="1" applyAlignment="1"/>
    <xf numFmtId="0" fontId="17" fillId="3" borderId="23" xfId="0" applyFont="1" applyFill="1" applyBorder="1" applyAlignment="1"/>
    <xf numFmtId="0" fontId="17" fillId="3" borderId="4" xfId="0" applyFont="1" applyFill="1" applyBorder="1" applyAlignment="1"/>
    <xf numFmtId="0" fontId="17" fillId="3" borderId="5" xfId="0" applyFont="1" applyFill="1" applyBorder="1" applyAlignment="1"/>
    <xf numFmtId="0" fontId="0" fillId="0" borderId="0" xfId="0" applyBorder="1" applyAlignment="1"/>
    <xf numFmtId="0" fontId="5" fillId="4" borderId="24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" fontId="6" fillId="3" borderId="25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22" fillId="0" borderId="1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64" fontId="23" fillId="6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167" fontId="23" fillId="0" borderId="1" xfId="0" applyNumberFormat="1" applyFont="1" applyBorder="1" applyAlignment="1">
      <alignment horizontal="center"/>
    </xf>
    <xf numFmtId="0" fontId="20" fillId="0" borderId="0" xfId="0" applyFont="1"/>
    <xf numFmtId="167" fontId="23" fillId="3" borderId="1" xfId="0" applyNumberFormat="1" applyFont="1" applyFill="1" applyBorder="1" applyAlignment="1">
      <alignment horizontal="center"/>
    </xf>
    <xf numFmtId="0" fontId="0" fillId="7" borderId="0" xfId="0" applyFill="1"/>
    <xf numFmtId="0" fontId="20" fillId="0" borderId="24" xfId="0" applyFont="1" applyFill="1" applyBorder="1" applyAlignment="1">
      <alignment vertical="center" wrapText="1"/>
    </xf>
    <xf numFmtId="0" fontId="20" fillId="0" borderId="24" xfId="0" applyFont="1" applyBorder="1"/>
    <xf numFmtId="0" fontId="20" fillId="0" borderId="24" xfId="0" applyFont="1" applyFill="1" applyBorder="1"/>
    <xf numFmtId="0" fontId="0" fillId="0" borderId="24" xfId="0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2" fontId="0" fillId="0" borderId="24" xfId="0" applyNumberFormat="1" applyBorder="1"/>
    <xf numFmtId="2" fontId="0" fillId="0" borderId="26" xfId="0" applyNumberFormat="1" applyBorder="1"/>
    <xf numFmtId="1" fontId="0" fillId="7" borderId="0" xfId="0" applyNumberFormat="1" applyFill="1"/>
    <xf numFmtId="0" fontId="25" fillId="0" borderId="1" xfId="0" applyFont="1" applyBorder="1" applyAlignment="1">
      <alignment horizontal="center" wrapText="1"/>
    </xf>
    <xf numFmtId="164" fontId="25" fillId="6" borderId="6" xfId="0" applyNumberFormat="1" applyFont="1" applyFill="1" applyBorder="1" applyAlignment="1">
      <alignment horizontal="center"/>
    </xf>
    <xf numFmtId="164" fontId="25" fillId="6" borderId="1" xfId="0" applyNumberFormat="1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/>
    </xf>
    <xf numFmtId="1" fontId="23" fillId="3" borderId="25" xfId="0" applyNumberFormat="1" applyFont="1" applyFill="1" applyBorder="1" applyAlignment="1">
      <alignment horizontal="center"/>
    </xf>
    <xf numFmtId="1" fontId="0" fillId="0" borderId="26" xfId="0" applyNumberFormat="1" applyBorder="1"/>
    <xf numFmtId="0" fontId="5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68" fontId="5" fillId="2" borderId="27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right"/>
    </xf>
    <xf numFmtId="169" fontId="5" fillId="0" borderId="59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167" fontId="6" fillId="6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" fontId="25" fillId="6" borderId="1" xfId="0" applyNumberFormat="1" applyFont="1" applyFill="1" applyBorder="1" applyAlignment="1">
      <alignment horizontal="center"/>
    </xf>
    <xf numFmtId="1" fontId="6" fillId="6" borderId="25" xfId="0" applyNumberFormat="1" applyFont="1" applyFill="1" applyBorder="1" applyAlignment="1">
      <alignment horizontal="center"/>
    </xf>
    <xf numFmtId="166" fontId="4" fillId="6" borderId="1" xfId="0" applyNumberFormat="1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0" fontId="0" fillId="0" borderId="0" xfId="0" applyFill="1"/>
    <xf numFmtId="164" fontId="23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25" fillId="0" borderId="1" xfId="0" applyNumberFormat="1" applyFont="1" applyFill="1" applyBorder="1" applyAlignment="1">
      <alignment horizontal="center"/>
    </xf>
    <xf numFmtId="164" fontId="23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6" fillId="6" borderId="6" xfId="0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/>
    </xf>
    <xf numFmtId="1" fontId="23" fillId="6" borderId="1" xfId="0" applyNumberFormat="1" applyFont="1" applyFill="1" applyBorder="1" applyAlignment="1">
      <alignment horizontal="center"/>
    </xf>
    <xf numFmtId="164" fontId="25" fillId="0" borderId="6" xfId="0" applyNumberFormat="1" applyFont="1" applyFill="1" applyBorder="1" applyAlignment="1">
      <alignment horizontal="center"/>
    </xf>
    <xf numFmtId="1" fontId="23" fillId="6" borderId="25" xfId="0" applyNumberFormat="1" applyFont="1" applyFill="1" applyBorder="1" applyAlignment="1">
      <alignment horizontal="center"/>
    </xf>
    <xf numFmtId="167" fontId="23" fillId="6" borderId="1" xfId="0" applyNumberFormat="1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/>
    </xf>
    <xf numFmtId="167" fontId="25" fillId="6" borderId="1" xfId="0" applyNumberFormat="1" applyFont="1" applyFill="1" applyBorder="1" applyAlignment="1">
      <alignment horizontal="center"/>
    </xf>
    <xf numFmtId="167" fontId="25" fillId="0" borderId="1" xfId="0" applyNumberFormat="1" applyFont="1" applyFill="1" applyBorder="1" applyAlignment="1">
      <alignment horizontal="center"/>
    </xf>
    <xf numFmtId="167" fontId="25" fillId="0" borderId="1" xfId="0" applyNumberFormat="1" applyFont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4" fillId="0" borderId="60" xfId="0" applyFont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/>
    </xf>
    <xf numFmtId="1" fontId="25" fillId="3" borderId="25" xfId="0" applyNumberFormat="1" applyFont="1" applyFill="1" applyBorder="1" applyAlignment="1">
      <alignment horizontal="center"/>
    </xf>
    <xf numFmtId="1" fontId="25" fillId="6" borderId="25" xfId="0" applyNumberFormat="1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4" fillId="0" borderId="23" xfId="0" applyFont="1" applyBorder="1" applyAlignment="1">
      <alignment horizontal="center"/>
    </xf>
    <xf numFmtId="171" fontId="5" fillId="0" borderId="18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60" xfId="0" applyFont="1" applyBorder="1" applyAlignment="1">
      <alignment horizontal="center" vertical="center" wrapText="1"/>
    </xf>
    <xf numFmtId="0" fontId="0" fillId="0" borderId="14" xfId="0" applyBorder="1"/>
    <xf numFmtId="0" fontId="0" fillId="0" borderId="34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/>
    <xf numFmtId="0" fontId="0" fillId="0" borderId="4" xfId="0" applyBorder="1"/>
    <xf numFmtId="0" fontId="28" fillId="0" borderId="14" xfId="0" applyFont="1" applyBorder="1"/>
    <xf numFmtId="0" fontId="20" fillId="0" borderId="0" xfId="0" applyFont="1" applyBorder="1" applyAlignment="1">
      <alignment horizontal="center"/>
    </xf>
    <xf numFmtId="49" fontId="20" fillId="0" borderId="0" xfId="0" applyNumberFormat="1" applyFont="1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0" fillId="0" borderId="3" xfId="0" applyFont="1" applyBorder="1" applyAlignment="1">
      <alignment horizontal="center"/>
    </xf>
    <xf numFmtId="1" fontId="29" fillId="0" borderId="0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30" xfId="0" applyFont="1" applyBorder="1" applyAlignment="1"/>
    <xf numFmtId="0" fontId="29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0" fillId="0" borderId="5" xfId="0" applyFill="1" applyBorder="1"/>
    <xf numFmtId="0" fontId="1" fillId="0" borderId="2" xfId="0" applyFont="1" applyBorder="1"/>
    <xf numFmtId="0" fontId="1" fillId="0" borderId="23" xfId="0" applyFont="1" applyFill="1" applyBorder="1"/>
    <xf numFmtId="1" fontId="0" fillId="0" borderId="3" xfId="0" applyNumberFormat="1" applyBorder="1"/>
    <xf numFmtId="0" fontId="1" fillId="0" borderId="13" xfId="0" applyFont="1" applyFill="1" applyBorder="1"/>
    <xf numFmtId="0" fontId="1" fillId="0" borderId="2" xfId="0" applyFont="1" applyFill="1" applyBorder="1"/>
    <xf numFmtId="0" fontId="0" fillId="0" borderId="5" xfId="0" applyBorder="1"/>
    <xf numFmtId="0" fontId="0" fillId="0" borderId="2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3" xfId="0" applyBorder="1"/>
    <xf numFmtId="0" fontId="0" fillId="0" borderId="68" xfId="0" applyBorder="1"/>
    <xf numFmtId="0" fontId="0" fillId="0" borderId="69" xfId="0" applyBorder="1"/>
    <xf numFmtId="0" fontId="1" fillId="0" borderId="64" xfId="0" applyFont="1" applyBorder="1" applyAlignment="1">
      <alignment vertical="center" wrapText="1"/>
    </xf>
    <xf numFmtId="0" fontId="1" fillId="0" borderId="67" xfId="0" applyFont="1" applyBorder="1" applyAlignment="1"/>
    <xf numFmtId="0" fontId="1" fillId="0" borderId="68" xfId="0" applyFont="1" applyBorder="1" applyAlignment="1">
      <alignment vertical="center" wrapText="1"/>
    </xf>
    <xf numFmtId="0" fontId="0" fillId="0" borderId="67" xfId="0" applyBorder="1"/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0" fillId="0" borderId="67" xfId="0" applyNumberFormat="1" applyBorder="1"/>
    <xf numFmtId="164" fontId="0" fillId="0" borderId="64" xfId="0" applyNumberFormat="1" applyBorder="1"/>
    <xf numFmtId="0" fontId="0" fillId="0" borderId="53" xfId="0" applyBorder="1"/>
    <xf numFmtId="2" fontId="0" fillId="0" borderId="0" xfId="0" applyNumberFormat="1" applyBorder="1"/>
    <xf numFmtId="1" fontId="0" fillId="0" borderId="0" xfId="0" applyNumberFormat="1" applyBorder="1"/>
    <xf numFmtId="167" fontId="0" fillId="0" borderId="67" xfId="0" applyNumberFormat="1" applyBorder="1"/>
    <xf numFmtId="0" fontId="0" fillId="0" borderId="3" xfId="0" applyFill="1" applyBorder="1"/>
    <xf numFmtId="0" fontId="1" fillId="0" borderId="4" xfId="0" applyFont="1" applyBorder="1" applyAlignment="1">
      <alignment vertical="center" wrapText="1"/>
    </xf>
    <xf numFmtId="0" fontId="1" fillId="0" borderId="67" xfId="0" applyFont="1" applyBorder="1"/>
    <xf numFmtId="0" fontId="1" fillId="0" borderId="65" xfId="0" applyFont="1" applyBorder="1"/>
    <xf numFmtId="0" fontId="0" fillId="6" borderId="66" xfId="0" applyFill="1" applyBorder="1"/>
    <xf numFmtId="0" fontId="0" fillId="0" borderId="0" xfId="0" applyBorder="1" applyAlignment="1">
      <alignment vertical="center" wrapText="1"/>
    </xf>
    <xf numFmtId="0" fontId="0" fillId="0" borderId="0" xfId="0" applyFill="1" applyBorder="1"/>
    <xf numFmtId="0" fontId="0" fillId="0" borderId="64" xfId="0" applyBorder="1" applyAlignment="1">
      <alignment vertical="center" wrapText="1"/>
    </xf>
    <xf numFmtId="0" fontId="0" fillId="0" borderId="68" xfId="0" applyFill="1" applyBorder="1"/>
    <xf numFmtId="0" fontId="1" fillId="0" borderId="64" xfId="0" applyFont="1" applyBorder="1"/>
    <xf numFmtId="0" fontId="29" fillId="0" borderId="0" xfId="0" applyNumberFormat="1" applyFont="1" applyBorder="1" applyAlignment="1"/>
    <xf numFmtId="0" fontId="1" fillId="0" borderId="13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70" xfId="0" applyFont="1" applyBorder="1"/>
    <xf numFmtId="0" fontId="1" fillId="0" borderId="66" xfId="0" applyFont="1" applyBorder="1"/>
    <xf numFmtId="14" fontId="1" fillId="0" borderId="0" xfId="0" applyNumberFormat="1" applyFont="1" applyBorder="1"/>
    <xf numFmtId="14" fontId="0" fillId="0" borderId="0" xfId="0" applyNumberFormat="1" applyBorder="1"/>
    <xf numFmtId="0" fontId="1" fillId="0" borderId="68" xfId="0" applyFont="1" applyFill="1" applyBorder="1"/>
    <xf numFmtId="0" fontId="1" fillId="0" borderId="0" xfId="0" applyFont="1" applyFill="1" applyBorder="1"/>
    <xf numFmtId="0" fontId="1" fillId="0" borderId="0" xfId="0" applyFont="1"/>
    <xf numFmtId="1" fontId="5" fillId="4" borderId="24" xfId="0" applyNumberFormat="1" applyFont="1" applyFill="1" applyBorder="1" applyAlignment="1" applyProtection="1">
      <alignment horizontal="center"/>
      <protection locked="0"/>
    </xf>
    <xf numFmtId="11" fontId="1" fillId="0" borderId="0" xfId="0" applyNumberFormat="1" applyFont="1" applyFill="1" applyBorder="1"/>
    <xf numFmtId="0" fontId="0" fillId="0" borderId="0" xfId="0" applyFont="1" applyFill="1" applyBorder="1"/>
    <xf numFmtId="0" fontId="1" fillId="0" borderId="4" xfId="0" applyFont="1" applyBorder="1"/>
    <xf numFmtId="14" fontId="0" fillId="0" borderId="4" xfId="0" applyNumberFormat="1" applyBorder="1"/>
    <xf numFmtId="0" fontId="1" fillId="0" borderId="5" xfId="0" applyFont="1" applyBorder="1"/>
    <xf numFmtId="0" fontId="0" fillId="0" borderId="2" xfId="0" applyFill="1" applyBorder="1"/>
    <xf numFmtId="14" fontId="0" fillId="0" borderId="0" xfId="0" applyNumberFormat="1"/>
    <xf numFmtId="0" fontId="1" fillId="0" borderId="3" xfId="0" applyFont="1" applyFill="1" applyBorder="1"/>
    <xf numFmtId="11" fontId="0" fillId="0" borderId="0" xfId="0" applyNumberFormat="1" applyFill="1" applyBorder="1"/>
    <xf numFmtId="0" fontId="30" fillId="0" borderId="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2" fontId="5" fillId="0" borderId="59" xfId="0" applyNumberFormat="1" applyFont="1" applyBorder="1" applyAlignment="1">
      <alignment horizontal="center"/>
    </xf>
    <xf numFmtId="2" fontId="5" fillId="0" borderId="62" xfId="0" applyNumberFormat="1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167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70" fontId="18" fillId="3" borderId="0" xfId="0" applyNumberFormat="1" applyFont="1" applyFill="1" applyBorder="1" applyAlignment="1">
      <alignment horizontal="center"/>
    </xf>
    <xf numFmtId="170" fontId="18" fillId="3" borderId="4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167" fontId="9" fillId="0" borderId="19" xfId="0" applyNumberFormat="1" applyFont="1" applyBorder="1" applyAlignment="1">
      <alignment horizontal="center" vertical="center" wrapText="1"/>
    </xf>
    <xf numFmtId="167" fontId="9" fillId="0" borderId="11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1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28" xfId="0" applyFont="1" applyFill="1" applyBorder="1" applyAlignment="1">
      <alignment horizontal="center" wrapText="1"/>
    </xf>
    <xf numFmtId="0" fontId="27" fillId="4" borderId="27" xfId="0" applyFont="1" applyFill="1" applyBorder="1" applyAlignment="1">
      <alignment horizontal="center" wrapText="1"/>
    </xf>
    <xf numFmtId="0" fontId="27" fillId="4" borderId="31" xfId="0" applyFont="1" applyFill="1" applyBorder="1" applyAlignment="1">
      <alignment horizontal="center" wrapText="1"/>
    </xf>
    <xf numFmtId="0" fontId="27" fillId="4" borderId="32" xfId="0" applyFont="1" applyFill="1" applyBorder="1" applyAlignment="1">
      <alignment horizontal="center" wrapText="1"/>
    </xf>
    <xf numFmtId="0" fontId="27" fillId="4" borderId="30" xfId="0" applyFont="1" applyFill="1" applyBorder="1" applyAlignment="1">
      <alignment horizontal="center" wrapText="1"/>
    </xf>
    <xf numFmtId="0" fontId="27" fillId="4" borderId="3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5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167" fontId="6" fillId="0" borderId="43" xfId="0" applyNumberFormat="1" applyFont="1" applyBorder="1" applyAlignment="1">
      <alignment horizontal="center"/>
    </xf>
    <xf numFmtId="167" fontId="6" fillId="0" borderId="44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7" fontId="15" fillId="0" borderId="40" xfId="0" applyNumberFormat="1" applyFont="1" applyBorder="1" applyAlignment="1">
      <alignment horizontal="center" vertical="center" wrapText="1"/>
    </xf>
    <xf numFmtId="167" fontId="15" fillId="0" borderId="0" xfId="0" applyNumberFormat="1" applyFont="1" applyBorder="1" applyAlignment="1">
      <alignment horizontal="center" vertical="center" wrapText="1"/>
    </xf>
    <xf numFmtId="1" fontId="10" fillId="0" borderId="28" xfId="0" applyNumberFormat="1" applyFont="1" applyFill="1" applyBorder="1" applyAlignment="1">
      <alignment horizontal="center" vertical="center" wrapText="1"/>
    </xf>
    <xf numFmtId="1" fontId="10" fillId="0" borderId="27" xfId="0" applyNumberFormat="1" applyFont="1" applyFill="1" applyBorder="1" applyAlignment="1">
      <alignment horizontal="center" vertical="center" wrapText="1"/>
    </xf>
    <xf numFmtId="1" fontId="10" fillId="0" borderId="31" xfId="0" applyNumberFormat="1" applyFont="1" applyFill="1" applyBorder="1" applyAlignment="1">
      <alignment horizontal="center" vertical="center" wrapText="1"/>
    </xf>
    <xf numFmtId="1" fontId="10" fillId="0" borderId="5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51" xfId="0" applyNumberFormat="1" applyFont="1" applyFill="1" applyBorder="1" applyAlignment="1">
      <alignment horizontal="center" vertical="center" wrapText="1"/>
    </xf>
    <xf numFmtId="1" fontId="10" fillId="0" borderId="32" xfId="0" applyNumberFormat="1" applyFont="1" applyFill="1" applyBorder="1" applyAlignment="1">
      <alignment horizontal="center" vertical="center" wrapText="1"/>
    </xf>
    <xf numFmtId="1" fontId="10" fillId="0" borderId="30" xfId="0" applyNumberFormat="1" applyFont="1" applyFill="1" applyBorder="1" applyAlignment="1">
      <alignment horizontal="center" vertical="center" wrapText="1"/>
    </xf>
    <xf numFmtId="1" fontId="10" fillId="0" borderId="33" xfId="0" applyNumberFormat="1" applyFont="1" applyFill="1" applyBorder="1" applyAlignment="1">
      <alignment horizontal="center" vertical="center" wrapText="1"/>
    </xf>
    <xf numFmtId="167" fontId="6" fillId="0" borderId="18" xfId="0" applyNumberFormat="1" applyFont="1" applyBorder="1" applyAlignment="1">
      <alignment horizontal="center" vertical="center"/>
    </xf>
    <xf numFmtId="167" fontId="6" fillId="0" borderId="1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6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49" fontId="20" fillId="0" borderId="0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11">
    <dxf>
      <font>
        <color auto="1"/>
      </font>
      <fill>
        <patternFill>
          <bgColor rgb="FF92D050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53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37</xdr:row>
      <xdr:rowOff>0</xdr:rowOff>
    </xdr:from>
    <xdr:to>
      <xdr:col>6</xdr:col>
      <xdr:colOff>571500</xdr:colOff>
      <xdr:row>37</xdr:row>
      <xdr:rowOff>0</xdr:rowOff>
    </xdr:to>
    <xdr:sp macro="" textlink="">
      <xdr:nvSpPr>
        <xdr:cNvPr id="9407" name="Line 40"/>
        <xdr:cNvSpPr>
          <a:spLocks noChangeShapeType="1"/>
        </xdr:cNvSpPr>
      </xdr:nvSpPr>
      <xdr:spPr bwMode="auto">
        <a:xfrm flipV="1">
          <a:off x="7153275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6</xdr:row>
      <xdr:rowOff>47625</xdr:rowOff>
    </xdr:from>
    <xdr:to>
      <xdr:col>5</xdr:col>
      <xdr:colOff>95250</xdr:colOff>
      <xdr:row>12</xdr:row>
      <xdr:rowOff>190500</xdr:rowOff>
    </xdr:to>
    <xdr:sp macro="" textlink="">
      <xdr:nvSpPr>
        <xdr:cNvPr id="9408" name="Rectangle 59" descr="noir)"/>
        <xdr:cNvSpPr>
          <a:spLocks noChangeArrowheads="1"/>
        </xdr:cNvSpPr>
      </xdr:nvSpPr>
      <xdr:spPr bwMode="auto">
        <a:xfrm>
          <a:off x="4524375" y="1190625"/>
          <a:ext cx="1076325" cy="1143000"/>
        </a:xfrm>
        <a:prstGeom prst="rect">
          <a:avLst/>
        </a:pr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19</xdr:row>
      <xdr:rowOff>0</xdr:rowOff>
    </xdr:from>
    <xdr:to>
      <xdr:col>5</xdr:col>
      <xdr:colOff>95250</xdr:colOff>
      <xdr:row>25</xdr:row>
      <xdr:rowOff>142875</xdr:rowOff>
    </xdr:to>
    <xdr:sp macro="" textlink="">
      <xdr:nvSpPr>
        <xdr:cNvPr id="9409" name="Rectangle 60" descr="noir)"/>
        <xdr:cNvSpPr>
          <a:spLocks noChangeArrowheads="1"/>
        </xdr:cNvSpPr>
      </xdr:nvSpPr>
      <xdr:spPr bwMode="auto">
        <a:xfrm>
          <a:off x="4524375" y="3362325"/>
          <a:ext cx="1076325" cy="1381125"/>
        </a:xfrm>
        <a:prstGeom prst="rect">
          <a:avLst/>
        </a:pr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9525</xdr:rowOff>
    </xdr:from>
    <xdr:to>
      <xdr:col>5</xdr:col>
      <xdr:colOff>552450</xdr:colOff>
      <xdr:row>18</xdr:row>
      <xdr:rowOff>0</xdr:rowOff>
    </xdr:to>
    <xdr:sp macro="" textlink="">
      <xdr:nvSpPr>
        <xdr:cNvPr id="9410" name="Rectangle 61" descr="40 %"/>
        <xdr:cNvSpPr>
          <a:spLocks noChangeArrowheads="1"/>
        </xdr:cNvSpPr>
      </xdr:nvSpPr>
      <xdr:spPr bwMode="auto">
        <a:xfrm>
          <a:off x="3581400" y="2543175"/>
          <a:ext cx="2476500" cy="647700"/>
        </a:xfrm>
        <a:prstGeom prst="rect">
          <a:avLst/>
        </a:prstGeom>
        <a:pattFill prst="pct40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5</xdr:col>
      <xdr:colOff>542925</xdr:colOff>
      <xdr:row>14</xdr:row>
      <xdr:rowOff>0</xdr:rowOff>
    </xdr:to>
    <xdr:sp macro="" textlink="">
      <xdr:nvSpPr>
        <xdr:cNvPr id="9411" name="Line 62"/>
        <xdr:cNvSpPr>
          <a:spLocks noChangeShapeType="1"/>
        </xdr:cNvSpPr>
      </xdr:nvSpPr>
      <xdr:spPr bwMode="auto">
        <a:xfrm flipH="1">
          <a:off x="3581400" y="2533650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752475</xdr:colOff>
      <xdr:row>18</xdr:row>
      <xdr:rowOff>9525</xdr:rowOff>
    </xdr:from>
    <xdr:to>
      <xdr:col>5</xdr:col>
      <xdr:colOff>552450</xdr:colOff>
      <xdr:row>18</xdr:row>
      <xdr:rowOff>9525</xdr:rowOff>
    </xdr:to>
    <xdr:sp macro="" textlink="">
      <xdr:nvSpPr>
        <xdr:cNvPr id="9412" name="Line 63"/>
        <xdr:cNvSpPr>
          <a:spLocks noChangeShapeType="1"/>
        </xdr:cNvSpPr>
      </xdr:nvSpPr>
      <xdr:spPr bwMode="auto">
        <a:xfrm>
          <a:off x="3381375" y="3200400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6</xdr:col>
      <xdr:colOff>895350</xdr:colOff>
      <xdr:row>19</xdr:row>
      <xdr:rowOff>0</xdr:rowOff>
    </xdr:to>
    <xdr:sp macro="" textlink="">
      <xdr:nvSpPr>
        <xdr:cNvPr id="9413" name="Line 64"/>
        <xdr:cNvSpPr>
          <a:spLocks noChangeShapeType="1"/>
        </xdr:cNvSpPr>
      </xdr:nvSpPr>
      <xdr:spPr bwMode="auto">
        <a:xfrm>
          <a:off x="5505450" y="33623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12</xdr:row>
      <xdr:rowOff>190500</xdr:rowOff>
    </xdr:from>
    <xdr:to>
      <xdr:col>7</xdr:col>
      <xdr:colOff>9525</xdr:colOff>
      <xdr:row>12</xdr:row>
      <xdr:rowOff>190500</xdr:rowOff>
    </xdr:to>
    <xdr:sp macro="" textlink="">
      <xdr:nvSpPr>
        <xdr:cNvPr id="9414" name="Line 65"/>
        <xdr:cNvSpPr>
          <a:spLocks noChangeShapeType="1"/>
        </xdr:cNvSpPr>
      </xdr:nvSpPr>
      <xdr:spPr bwMode="auto">
        <a:xfrm>
          <a:off x="5534025" y="23336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9415" name="Line 66"/>
        <xdr:cNvSpPr>
          <a:spLocks noChangeShapeType="1"/>
        </xdr:cNvSpPr>
      </xdr:nvSpPr>
      <xdr:spPr bwMode="auto">
        <a:xfrm flipH="1">
          <a:off x="2628900" y="25336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3</xdr:col>
      <xdr:colOff>9525</xdr:colOff>
      <xdr:row>18</xdr:row>
      <xdr:rowOff>9525</xdr:rowOff>
    </xdr:to>
    <xdr:sp macro="" textlink="">
      <xdr:nvSpPr>
        <xdr:cNvPr id="9416" name="Line 67"/>
        <xdr:cNvSpPr>
          <a:spLocks noChangeShapeType="1"/>
        </xdr:cNvSpPr>
      </xdr:nvSpPr>
      <xdr:spPr bwMode="auto">
        <a:xfrm flipH="1">
          <a:off x="2628900" y="32004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25</xdr:row>
      <xdr:rowOff>142875</xdr:rowOff>
    </xdr:from>
    <xdr:to>
      <xdr:col>5</xdr:col>
      <xdr:colOff>95250</xdr:colOff>
      <xdr:row>30</xdr:row>
      <xdr:rowOff>9525</xdr:rowOff>
    </xdr:to>
    <xdr:sp macro="" textlink="">
      <xdr:nvSpPr>
        <xdr:cNvPr id="9417" name="Line 68"/>
        <xdr:cNvSpPr>
          <a:spLocks noChangeShapeType="1"/>
        </xdr:cNvSpPr>
      </xdr:nvSpPr>
      <xdr:spPr bwMode="auto">
        <a:xfrm>
          <a:off x="5600700" y="4743450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25</xdr:row>
      <xdr:rowOff>152400</xdr:rowOff>
    </xdr:from>
    <xdr:to>
      <xdr:col>4</xdr:col>
      <xdr:colOff>76200</xdr:colOff>
      <xdr:row>30</xdr:row>
      <xdr:rowOff>19050</xdr:rowOff>
    </xdr:to>
    <xdr:sp macro="" textlink="">
      <xdr:nvSpPr>
        <xdr:cNvPr id="9418" name="Line 69"/>
        <xdr:cNvSpPr>
          <a:spLocks noChangeShapeType="1"/>
        </xdr:cNvSpPr>
      </xdr:nvSpPr>
      <xdr:spPr bwMode="auto">
        <a:xfrm>
          <a:off x="4514850" y="4752975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161925</xdr:rowOff>
    </xdr:from>
    <xdr:to>
      <xdr:col>7</xdr:col>
      <xdr:colOff>0</xdr:colOff>
      <xdr:row>19</xdr:row>
      <xdr:rowOff>0</xdr:rowOff>
    </xdr:to>
    <xdr:sp macro="" textlink="">
      <xdr:nvSpPr>
        <xdr:cNvPr id="9419" name="Line 70"/>
        <xdr:cNvSpPr>
          <a:spLocks noChangeShapeType="1"/>
        </xdr:cNvSpPr>
      </xdr:nvSpPr>
      <xdr:spPr bwMode="auto">
        <a:xfrm>
          <a:off x="7496175" y="230505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9525</xdr:rowOff>
    </xdr:from>
    <xdr:to>
      <xdr:col>2</xdr:col>
      <xdr:colOff>0</xdr:colOff>
      <xdr:row>18</xdr:row>
      <xdr:rowOff>9525</xdr:rowOff>
    </xdr:to>
    <xdr:sp macro="" textlink="">
      <xdr:nvSpPr>
        <xdr:cNvPr id="9420" name="Line 71"/>
        <xdr:cNvSpPr>
          <a:spLocks noChangeShapeType="1"/>
        </xdr:cNvSpPr>
      </xdr:nvSpPr>
      <xdr:spPr bwMode="auto">
        <a:xfrm>
          <a:off x="2628900" y="2543175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30</xdr:row>
      <xdr:rowOff>19050</xdr:rowOff>
    </xdr:from>
    <xdr:to>
      <xdr:col>5</xdr:col>
      <xdr:colOff>95250</xdr:colOff>
      <xdr:row>30</xdr:row>
      <xdr:rowOff>19050</xdr:rowOff>
    </xdr:to>
    <xdr:sp macro="" textlink="">
      <xdr:nvSpPr>
        <xdr:cNvPr id="9421" name="Line 72"/>
        <xdr:cNvSpPr>
          <a:spLocks noChangeShapeType="1"/>
        </xdr:cNvSpPr>
      </xdr:nvSpPr>
      <xdr:spPr bwMode="auto">
        <a:xfrm>
          <a:off x="4524375" y="56102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15</xdr:row>
      <xdr:rowOff>95250</xdr:rowOff>
    </xdr:from>
    <xdr:to>
      <xdr:col>8</xdr:col>
      <xdr:colOff>571500</xdr:colOff>
      <xdr:row>15</xdr:row>
      <xdr:rowOff>95250</xdr:rowOff>
    </xdr:to>
    <xdr:sp macro="" textlink="">
      <xdr:nvSpPr>
        <xdr:cNvPr id="9422" name="Line 73"/>
        <xdr:cNvSpPr>
          <a:spLocks noChangeShapeType="1"/>
        </xdr:cNvSpPr>
      </xdr:nvSpPr>
      <xdr:spPr bwMode="auto">
        <a:xfrm>
          <a:off x="8305800" y="2790825"/>
          <a:ext cx="523875" cy="0"/>
        </a:xfrm>
        <a:prstGeom prst="line">
          <a:avLst/>
        </a:prstGeom>
        <a:noFill/>
        <a:ln w="349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533400</xdr:colOff>
      <xdr:row>15</xdr:row>
      <xdr:rowOff>104775</xdr:rowOff>
    </xdr:from>
    <xdr:to>
      <xdr:col>8</xdr:col>
      <xdr:colOff>581025</xdr:colOff>
      <xdr:row>35</xdr:row>
      <xdr:rowOff>19050</xdr:rowOff>
    </xdr:to>
    <xdr:sp macro="" textlink="">
      <xdr:nvSpPr>
        <xdr:cNvPr id="9423" name="Line 74"/>
        <xdr:cNvSpPr>
          <a:spLocks noChangeShapeType="1"/>
        </xdr:cNvSpPr>
      </xdr:nvSpPr>
      <xdr:spPr bwMode="auto">
        <a:xfrm flipV="1">
          <a:off x="8791575" y="2800350"/>
          <a:ext cx="47625" cy="3619500"/>
        </a:xfrm>
        <a:prstGeom prst="line">
          <a:avLst/>
        </a:prstGeom>
        <a:noFill/>
        <a:ln w="349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533400</xdr:colOff>
      <xdr:row>29</xdr:row>
      <xdr:rowOff>114300</xdr:rowOff>
    </xdr:from>
    <xdr:to>
      <xdr:col>8</xdr:col>
      <xdr:colOff>1038225</xdr:colOff>
      <xdr:row>29</xdr:row>
      <xdr:rowOff>114300</xdr:rowOff>
    </xdr:to>
    <xdr:sp macro="" textlink="">
      <xdr:nvSpPr>
        <xdr:cNvPr id="9424" name="Line 75"/>
        <xdr:cNvSpPr>
          <a:spLocks noChangeShapeType="1"/>
        </xdr:cNvSpPr>
      </xdr:nvSpPr>
      <xdr:spPr bwMode="auto">
        <a:xfrm>
          <a:off x="8791575" y="5543550"/>
          <a:ext cx="504825" cy="0"/>
        </a:xfrm>
        <a:prstGeom prst="line">
          <a:avLst/>
        </a:prstGeom>
        <a:noFill/>
        <a:ln w="412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12</xdr:row>
      <xdr:rowOff>152400</xdr:rowOff>
    </xdr:from>
    <xdr:to>
      <xdr:col>4</xdr:col>
      <xdr:colOff>85725</xdr:colOff>
      <xdr:row>14</xdr:row>
      <xdr:rowOff>28575</xdr:rowOff>
    </xdr:to>
    <xdr:sp macro="" textlink="">
      <xdr:nvSpPr>
        <xdr:cNvPr id="9425" name="Line 91"/>
        <xdr:cNvSpPr>
          <a:spLocks noChangeShapeType="1"/>
        </xdr:cNvSpPr>
      </xdr:nvSpPr>
      <xdr:spPr bwMode="auto">
        <a:xfrm>
          <a:off x="4524375" y="22955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1057275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9426" name="Line 96"/>
        <xdr:cNvSpPr>
          <a:spLocks noChangeShapeType="1"/>
        </xdr:cNvSpPr>
      </xdr:nvSpPr>
      <xdr:spPr bwMode="auto">
        <a:xfrm flipH="1">
          <a:off x="6562725" y="6400800"/>
          <a:ext cx="2209800" cy="0"/>
        </a:xfrm>
        <a:prstGeom prst="line">
          <a:avLst/>
        </a:prstGeom>
        <a:noFill/>
        <a:ln w="349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619125</xdr:colOff>
      <xdr:row>38</xdr:row>
      <xdr:rowOff>104775</xdr:rowOff>
    </xdr:from>
    <xdr:to>
      <xdr:col>4</xdr:col>
      <xdr:colOff>238125</xdr:colOff>
      <xdr:row>38</xdr:row>
      <xdr:rowOff>104775</xdr:rowOff>
    </xdr:to>
    <xdr:sp macro="" textlink="">
      <xdr:nvSpPr>
        <xdr:cNvPr id="9427" name="Line 98"/>
        <xdr:cNvSpPr>
          <a:spLocks noChangeShapeType="1"/>
        </xdr:cNvSpPr>
      </xdr:nvSpPr>
      <xdr:spPr bwMode="auto">
        <a:xfrm flipH="1">
          <a:off x="4200525" y="7162800"/>
          <a:ext cx="476250" cy="0"/>
        </a:xfrm>
        <a:prstGeom prst="line">
          <a:avLst/>
        </a:prstGeom>
        <a:noFill/>
        <a:ln w="41275">
          <a:solidFill>
            <a:srgbClr val="00008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45</xdr:row>
      <xdr:rowOff>114300</xdr:rowOff>
    </xdr:from>
    <xdr:to>
      <xdr:col>7</xdr:col>
      <xdr:colOff>733425</xdr:colOff>
      <xdr:row>45</xdr:row>
      <xdr:rowOff>114300</xdr:rowOff>
    </xdr:to>
    <xdr:sp macro="" textlink="">
      <xdr:nvSpPr>
        <xdr:cNvPr id="9428" name="Line 99"/>
        <xdr:cNvSpPr>
          <a:spLocks noChangeShapeType="1"/>
        </xdr:cNvSpPr>
      </xdr:nvSpPr>
      <xdr:spPr bwMode="auto">
        <a:xfrm>
          <a:off x="7515225" y="8467725"/>
          <a:ext cx="714375" cy="0"/>
        </a:xfrm>
        <a:prstGeom prst="line">
          <a:avLst/>
        </a:prstGeom>
        <a:noFill/>
        <a:ln w="412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438150</xdr:colOff>
      <xdr:row>47</xdr:row>
      <xdr:rowOff>19050</xdr:rowOff>
    </xdr:from>
    <xdr:to>
      <xdr:col>18</xdr:col>
      <xdr:colOff>647700</xdr:colOff>
      <xdr:row>51</xdr:row>
      <xdr:rowOff>142875</xdr:rowOff>
    </xdr:to>
    <xdr:pic>
      <xdr:nvPicPr>
        <xdr:cNvPr id="9429" name="Picture 101" descr="capture0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8743950"/>
          <a:ext cx="24479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619125</xdr:colOff>
      <xdr:row>39</xdr:row>
      <xdr:rowOff>114300</xdr:rowOff>
    </xdr:from>
    <xdr:to>
      <xdr:col>4</xdr:col>
      <xdr:colOff>238125</xdr:colOff>
      <xdr:row>39</xdr:row>
      <xdr:rowOff>114300</xdr:rowOff>
    </xdr:to>
    <xdr:sp macro="" textlink="">
      <xdr:nvSpPr>
        <xdr:cNvPr id="9430" name="Line 103"/>
        <xdr:cNvSpPr>
          <a:spLocks noChangeShapeType="1"/>
        </xdr:cNvSpPr>
      </xdr:nvSpPr>
      <xdr:spPr bwMode="auto">
        <a:xfrm flipH="1">
          <a:off x="4200525" y="7372350"/>
          <a:ext cx="476250" cy="0"/>
        </a:xfrm>
        <a:prstGeom prst="line">
          <a:avLst/>
        </a:prstGeom>
        <a:noFill/>
        <a:ln w="41275">
          <a:solidFill>
            <a:srgbClr val="00008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161925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9431" name="Line 104"/>
        <xdr:cNvSpPr>
          <a:spLocks noChangeShapeType="1"/>
        </xdr:cNvSpPr>
      </xdr:nvSpPr>
      <xdr:spPr bwMode="auto">
        <a:xfrm>
          <a:off x="12677775" y="18954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</xdr:row>
      <xdr:rowOff>19050</xdr:rowOff>
    </xdr:from>
    <xdr:to>
      <xdr:col>2</xdr:col>
      <xdr:colOff>438150</xdr:colOff>
      <xdr:row>6</xdr:row>
      <xdr:rowOff>123825</xdr:rowOff>
    </xdr:to>
    <xdr:pic>
      <xdr:nvPicPr>
        <xdr:cNvPr id="9432" name="Picture 105" descr="Logo_Bleu 100-83-00-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90500"/>
          <a:ext cx="22860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37</xdr:row>
      <xdr:rowOff>0</xdr:rowOff>
    </xdr:from>
    <xdr:to>
      <xdr:col>6</xdr:col>
      <xdr:colOff>571500</xdr:colOff>
      <xdr:row>37</xdr:row>
      <xdr:rowOff>0</xdr:rowOff>
    </xdr:to>
    <xdr:sp macro="" textlink="">
      <xdr:nvSpPr>
        <xdr:cNvPr id="2" name="Line 40"/>
        <xdr:cNvSpPr>
          <a:spLocks noChangeShapeType="1"/>
        </xdr:cNvSpPr>
      </xdr:nvSpPr>
      <xdr:spPr bwMode="auto">
        <a:xfrm flipV="1">
          <a:off x="7153275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6</xdr:row>
      <xdr:rowOff>47625</xdr:rowOff>
    </xdr:from>
    <xdr:to>
      <xdr:col>5</xdr:col>
      <xdr:colOff>95250</xdr:colOff>
      <xdr:row>12</xdr:row>
      <xdr:rowOff>190500</xdr:rowOff>
    </xdr:to>
    <xdr:sp macro="" textlink="">
      <xdr:nvSpPr>
        <xdr:cNvPr id="3" name="Rectangle 59" descr="noir)"/>
        <xdr:cNvSpPr>
          <a:spLocks noChangeArrowheads="1"/>
        </xdr:cNvSpPr>
      </xdr:nvSpPr>
      <xdr:spPr bwMode="auto">
        <a:xfrm>
          <a:off x="4524375" y="1190625"/>
          <a:ext cx="1076325" cy="1143000"/>
        </a:xfrm>
        <a:prstGeom prst="rect">
          <a:avLst/>
        </a:pr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19</xdr:row>
      <xdr:rowOff>0</xdr:rowOff>
    </xdr:from>
    <xdr:to>
      <xdr:col>5</xdr:col>
      <xdr:colOff>95250</xdr:colOff>
      <xdr:row>25</xdr:row>
      <xdr:rowOff>142875</xdr:rowOff>
    </xdr:to>
    <xdr:sp macro="" textlink="">
      <xdr:nvSpPr>
        <xdr:cNvPr id="4" name="Rectangle 60" descr="noir)"/>
        <xdr:cNvSpPr>
          <a:spLocks noChangeArrowheads="1"/>
        </xdr:cNvSpPr>
      </xdr:nvSpPr>
      <xdr:spPr bwMode="auto">
        <a:xfrm>
          <a:off x="4524375" y="3362325"/>
          <a:ext cx="1076325" cy="1381125"/>
        </a:xfrm>
        <a:prstGeom prst="rect">
          <a:avLst/>
        </a:prstGeom>
        <a:pattFill prst="ltDn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9525</xdr:rowOff>
    </xdr:from>
    <xdr:to>
      <xdr:col>5</xdr:col>
      <xdr:colOff>552450</xdr:colOff>
      <xdr:row>18</xdr:row>
      <xdr:rowOff>0</xdr:rowOff>
    </xdr:to>
    <xdr:sp macro="" textlink="">
      <xdr:nvSpPr>
        <xdr:cNvPr id="5" name="Rectangle 61" descr="40 %"/>
        <xdr:cNvSpPr>
          <a:spLocks noChangeArrowheads="1"/>
        </xdr:cNvSpPr>
      </xdr:nvSpPr>
      <xdr:spPr bwMode="auto">
        <a:xfrm>
          <a:off x="3581400" y="2543175"/>
          <a:ext cx="2476500" cy="647700"/>
        </a:xfrm>
        <a:prstGeom prst="rect">
          <a:avLst/>
        </a:prstGeom>
        <a:pattFill prst="pct40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5</xdr:col>
      <xdr:colOff>542925</xdr:colOff>
      <xdr:row>14</xdr:row>
      <xdr:rowOff>0</xdr:rowOff>
    </xdr:to>
    <xdr:sp macro="" textlink="">
      <xdr:nvSpPr>
        <xdr:cNvPr id="6" name="Line 62"/>
        <xdr:cNvSpPr>
          <a:spLocks noChangeShapeType="1"/>
        </xdr:cNvSpPr>
      </xdr:nvSpPr>
      <xdr:spPr bwMode="auto">
        <a:xfrm flipH="1">
          <a:off x="3581400" y="2533650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752475</xdr:colOff>
      <xdr:row>18</xdr:row>
      <xdr:rowOff>9525</xdr:rowOff>
    </xdr:from>
    <xdr:to>
      <xdr:col>5</xdr:col>
      <xdr:colOff>552450</xdr:colOff>
      <xdr:row>18</xdr:row>
      <xdr:rowOff>9525</xdr:rowOff>
    </xdr:to>
    <xdr:sp macro="" textlink="">
      <xdr:nvSpPr>
        <xdr:cNvPr id="7" name="Line 63"/>
        <xdr:cNvSpPr>
          <a:spLocks noChangeShapeType="1"/>
        </xdr:cNvSpPr>
      </xdr:nvSpPr>
      <xdr:spPr bwMode="auto">
        <a:xfrm>
          <a:off x="3381375" y="3200400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6</xdr:col>
      <xdr:colOff>895350</xdr:colOff>
      <xdr:row>19</xdr:row>
      <xdr:rowOff>0</xdr:rowOff>
    </xdr:to>
    <xdr:sp macro="" textlink="">
      <xdr:nvSpPr>
        <xdr:cNvPr id="8" name="Line 64"/>
        <xdr:cNvSpPr>
          <a:spLocks noChangeShapeType="1"/>
        </xdr:cNvSpPr>
      </xdr:nvSpPr>
      <xdr:spPr bwMode="auto">
        <a:xfrm>
          <a:off x="5505450" y="33623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12</xdr:row>
      <xdr:rowOff>190500</xdr:rowOff>
    </xdr:from>
    <xdr:to>
      <xdr:col>7</xdr:col>
      <xdr:colOff>9525</xdr:colOff>
      <xdr:row>12</xdr:row>
      <xdr:rowOff>190500</xdr:rowOff>
    </xdr:to>
    <xdr:sp macro="" textlink="">
      <xdr:nvSpPr>
        <xdr:cNvPr id="9" name="Line 65"/>
        <xdr:cNvSpPr>
          <a:spLocks noChangeShapeType="1"/>
        </xdr:cNvSpPr>
      </xdr:nvSpPr>
      <xdr:spPr bwMode="auto">
        <a:xfrm>
          <a:off x="5534025" y="23336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10" name="Line 66"/>
        <xdr:cNvSpPr>
          <a:spLocks noChangeShapeType="1"/>
        </xdr:cNvSpPr>
      </xdr:nvSpPr>
      <xdr:spPr bwMode="auto">
        <a:xfrm flipH="1">
          <a:off x="2628900" y="25336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3</xdr:col>
      <xdr:colOff>9525</xdr:colOff>
      <xdr:row>18</xdr:row>
      <xdr:rowOff>9525</xdr:rowOff>
    </xdr:to>
    <xdr:sp macro="" textlink="">
      <xdr:nvSpPr>
        <xdr:cNvPr id="11" name="Line 67"/>
        <xdr:cNvSpPr>
          <a:spLocks noChangeShapeType="1"/>
        </xdr:cNvSpPr>
      </xdr:nvSpPr>
      <xdr:spPr bwMode="auto">
        <a:xfrm flipH="1">
          <a:off x="2628900" y="32004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25</xdr:row>
      <xdr:rowOff>142875</xdr:rowOff>
    </xdr:from>
    <xdr:to>
      <xdr:col>5</xdr:col>
      <xdr:colOff>95250</xdr:colOff>
      <xdr:row>30</xdr:row>
      <xdr:rowOff>9525</xdr:rowOff>
    </xdr:to>
    <xdr:sp macro="" textlink="">
      <xdr:nvSpPr>
        <xdr:cNvPr id="12" name="Line 68"/>
        <xdr:cNvSpPr>
          <a:spLocks noChangeShapeType="1"/>
        </xdr:cNvSpPr>
      </xdr:nvSpPr>
      <xdr:spPr bwMode="auto">
        <a:xfrm>
          <a:off x="5600700" y="4743450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25</xdr:row>
      <xdr:rowOff>152400</xdr:rowOff>
    </xdr:from>
    <xdr:to>
      <xdr:col>4</xdr:col>
      <xdr:colOff>76200</xdr:colOff>
      <xdr:row>30</xdr:row>
      <xdr:rowOff>19050</xdr:rowOff>
    </xdr:to>
    <xdr:sp macro="" textlink="">
      <xdr:nvSpPr>
        <xdr:cNvPr id="13" name="Line 69"/>
        <xdr:cNvSpPr>
          <a:spLocks noChangeShapeType="1"/>
        </xdr:cNvSpPr>
      </xdr:nvSpPr>
      <xdr:spPr bwMode="auto">
        <a:xfrm>
          <a:off x="4514850" y="4752975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161925</xdr:rowOff>
    </xdr:from>
    <xdr:to>
      <xdr:col>7</xdr:col>
      <xdr:colOff>0</xdr:colOff>
      <xdr:row>19</xdr:row>
      <xdr:rowOff>0</xdr:rowOff>
    </xdr:to>
    <xdr:sp macro="" textlink="">
      <xdr:nvSpPr>
        <xdr:cNvPr id="14" name="Line 70"/>
        <xdr:cNvSpPr>
          <a:spLocks noChangeShapeType="1"/>
        </xdr:cNvSpPr>
      </xdr:nvSpPr>
      <xdr:spPr bwMode="auto">
        <a:xfrm>
          <a:off x="7496175" y="230505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9525</xdr:rowOff>
    </xdr:from>
    <xdr:to>
      <xdr:col>2</xdr:col>
      <xdr:colOff>0</xdr:colOff>
      <xdr:row>18</xdr:row>
      <xdr:rowOff>9525</xdr:rowOff>
    </xdr:to>
    <xdr:sp macro="" textlink="">
      <xdr:nvSpPr>
        <xdr:cNvPr id="15" name="Line 71"/>
        <xdr:cNvSpPr>
          <a:spLocks noChangeShapeType="1"/>
        </xdr:cNvSpPr>
      </xdr:nvSpPr>
      <xdr:spPr bwMode="auto">
        <a:xfrm>
          <a:off x="2628900" y="2543175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30</xdr:row>
      <xdr:rowOff>19050</xdr:rowOff>
    </xdr:from>
    <xdr:to>
      <xdr:col>5</xdr:col>
      <xdr:colOff>95250</xdr:colOff>
      <xdr:row>30</xdr:row>
      <xdr:rowOff>19050</xdr:rowOff>
    </xdr:to>
    <xdr:sp macro="" textlink="">
      <xdr:nvSpPr>
        <xdr:cNvPr id="16" name="Line 72"/>
        <xdr:cNvSpPr>
          <a:spLocks noChangeShapeType="1"/>
        </xdr:cNvSpPr>
      </xdr:nvSpPr>
      <xdr:spPr bwMode="auto">
        <a:xfrm>
          <a:off x="4524375" y="56102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15</xdr:row>
      <xdr:rowOff>95250</xdr:rowOff>
    </xdr:from>
    <xdr:to>
      <xdr:col>8</xdr:col>
      <xdr:colOff>571500</xdr:colOff>
      <xdr:row>15</xdr:row>
      <xdr:rowOff>95250</xdr:rowOff>
    </xdr:to>
    <xdr:sp macro="" textlink="">
      <xdr:nvSpPr>
        <xdr:cNvPr id="17" name="Line 73"/>
        <xdr:cNvSpPr>
          <a:spLocks noChangeShapeType="1"/>
        </xdr:cNvSpPr>
      </xdr:nvSpPr>
      <xdr:spPr bwMode="auto">
        <a:xfrm>
          <a:off x="8305800" y="2790825"/>
          <a:ext cx="523875" cy="0"/>
        </a:xfrm>
        <a:prstGeom prst="line">
          <a:avLst/>
        </a:prstGeom>
        <a:noFill/>
        <a:ln w="349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533400</xdr:colOff>
      <xdr:row>15</xdr:row>
      <xdr:rowOff>104775</xdr:rowOff>
    </xdr:from>
    <xdr:to>
      <xdr:col>8</xdr:col>
      <xdr:colOff>581025</xdr:colOff>
      <xdr:row>35</xdr:row>
      <xdr:rowOff>19050</xdr:rowOff>
    </xdr:to>
    <xdr:sp macro="" textlink="">
      <xdr:nvSpPr>
        <xdr:cNvPr id="18" name="Line 74"/>
        <xdr:cNvSpPr>
          <a:spLocks noChangeShapeType="1"/>
        </xdr:cNvSpPr>
      </xdr:nvSpPr>
      <xdr:spPr bwMode="auto">
        <a:xfrm flipV="1">
          <a:off x="8791575" y="2800350"/>
          <a:ext cx="47625" cy="3619500"/>
        </a:xfrm>
        <a:prstGeom prst="line">
          <a:avLst/>
        </a:prstGeom>
        <a:noFill/>
        <a:ln w="349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533400</xdr:colOff>
      <xdr:row>29</xdr:row>
      <xdr:rowOff>114300</xdr:rowOff>
    </xdr:from>
    <xdr:to>
      <xdr:col>8</xdr:col>
      <xdr:colOff>1038225</xdr:colOff>
      <xdr:row>29</xdr:row>
      <xdr:rowOff>114300</xdr:rowOff>
    </xdr:to>
    <xdr:sp macro="" textlink="">
      <xdr:nvSpPr>
        <xdr:cNvPr id="19" name="Line 75"/>
        <xdr:cNvSpPr>
          <a:spLocks noChangeShapeType="1"/>
        </xdr:cNvSpPr>
      </xdr:nvSpPr>
      <xdr:spPr bwMode="auto">
        <a:xfrm>
          <a:off x="8791575" y="5543550"/>
          <a:ext cx="504825" cy="0"/>
        </a:xfrm>
        <a:prstGeom prst="line">
          <a:avLst/>
        </a:prstGeom>
        <a:noFill/>
        <a:ln w="412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12</xdr:row>
      <xdr:rowOff>152400</xdr:rowOff>
    </xdr:from>
    <xdr:to>
      <xdr:col>4</xdr:col>
      <xdr:colOff>85725</xdr:colOff>
      <xdr:row>14</xdr:row>
      <xdr:rowOff>28575</xdr:rowOff>
    </xdr:to>
    <xdr:sp macro="" textlink="">
      <xdr:nvSpPr>
        <xdr:cNvPr id="20" name="Line 91"/>
        <xdr:cNvSpPr>
          <a:spLocks noChangeShapeType="1"/>
        </xdr:cNvSpPr>
      </xdr:nvSpPr>
      <xdr:spPr bwMode="auto">
        <a:xfrm>
          <a:off x="4524375" y="22955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1057275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21" name="Line 96"/>
        <xdr:cNvSpPr>
          <a:spLocks noChangeShapeType="1"/>
        </xdr:cNvSpPr>
      </xdr:nvSpPr>
      <xdr:spPr bwMode="auto">
        <a:xfrm flipH="1">
          <a:off x="6562725" y="6400800"/>
          <a:ext cx="2209800" cy="0"/>
        </a:xfrm>
        <a:prstGeom prst="line">
          <a:avLst/>
        </a:prstGeom>
        <a:noFill/>
        <a:ln w="349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619125</xdr:colOff>
      <xdr:row>38</xdr:row>
      <xdr:rowOff>104775</xdr:rowOff>
    </xdr:from>
    <xdr:to>
      <xdr:col>4</xdr:col>
      <xdr:colOff>238125</xdr:colOff>
      <xdr:row>38</xdr:row>
      <xdr:rowOff>104775</xdr:rowOff>
    </xdr:to>
    <xdr:sp macro="" textlink="">
      <xdr:nvSpPr>
        <xdr:cNvPr id="22" name="Line 98"/>
        <xdr:cNvSpPr>
          <a:spLocks noChangeShapeType="1"/>
        </xdr:cNvSpPr>
      </xdr:nvSpPr>
      <xdr:spPr bwMode="auto">
        <a:xfrm flipH="1">
          <a:off x="4200525" y="7162800"/>
          <a:ext cx="476250" cy="0"/>
        </a:xfrm>
        <a:prstGeom prst="line">
          <a:avLst/>
        </a:prstGeom>
        <a:noFill/>
        <a:ln w="41275">
          <a:solidFill>
            <a:srgbClr val="00008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45</xdr:row>
      <xdr:rowOff>114300</xdr:rowOff>
    </xdr:from>
    <xdr:to>
      <xdr:col>7</xdr:col>
      <xdr:colOff>733425</xdr:colOff>
      <xdr:row>45</xdr:row>
      <xdr:rowOff>114300</xdr:rowOff>
    </xdr:to>
    <xdr:sp macro="" textlink="">
      <xdr:nvSpPr>
        <xdr:cNvPr id="23" name="Line 99"/>
        <xdr:cNvSpPr>
          <a:spLocks noChangeShapeType="1"/>
        </xdr:cNvSpPr>
      </xdr:nvSpPr>
      <xdr:spPr bwMode="auto">
        <a:xfrm>
          <a:off x="7515225" y="8505825"/>
          <a:ext cx="714375" cy="0"/>
        </a:xfrm>
        <a:prstGeom prst="line">
          <a:avLst/>
        </a:prstGeom>
        <a:noFill/>
        <a:ln w="41275">
          <a:solidFill>
            <a:srgbClr val="00008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438150</xdr:colOff>
      <xdr:row>47</xdr:row>
      <xdr:rowOff>19050</xdr:rowOff>
    </xdr:from>
    <xdr:to>
      <xdr:col>18</xdr:col>
      <xdr:colOff>647700</xdr:colOff>
      <xdr:row>51</xdr:row>
      <xdr:rowOff>142875</xdr:rowOff>
    </xdr:to>
    <xdr:pic>
      <xdr:nvPicPr>
        <xdr:cNvPr id="24" name="Picture 101" descr="capture0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8782050"/>
          <a:ext cx="24479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619125</xdr:colOff>
      <xdr:row>39</xdr:row>
      <xdr:rowOff>114300</xdr:rowOff>
    </xdr:from>
    <xdr:to>
      <xdr:col>4</xdr:col>
      <xdr:colOff>238125</xdr:colOff>
      <xdr:row>39</xdr:row>
      <xdr:rowOff>114300</xdr:rowOff>
    </xdr:to>
    <xdr:sp macro="" textlink="">
      <xdr:nvSpPr>
        <xdr:cNvPr id="25" name="Line 103"/>
        <xdr:cNvSpPr>
          <a:spLocks noChangeShapeType="1"/>
        </xdr:cNvSpPr>
      </xdr:nvSpPr>
      <xdr:spPr bwMode="auto">
        <a:xfrm flipH="1">
          <a:off x="4200525" y="7372350"/>
          <a:ext cx="476250" cy="0"/>
        </a:xfrm>
        <a:prstGeom prst="line">
          <a:avLst/>
        </a:prstGeom>
        <a:noFill/>
        <a:ln w="41275">
          <a:solidFill>
            <a:srgbClr val="00008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161925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26" name="Line 104"/>
        <xdr:cNvSpPr>
          <a:spLocks noChangeShapeType="1"/>
        </xdr:cNvSpPr>
      </xdr:nvSpPr>
      <xdr:spPr bwMode="auto">
        <a:xfrm>
          <a:off x="12677775" y="18954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</xdr:row>
      <xdr:rowOff>19050</xdr:rowOff>
    </xdr:from>
    <xdr:to>
      <xdr:col>2</xdr:col>
      <xdr:colOff>438150</xdr:colOff>
      <xdr:row>6</xdr:row>
      <xdr:rowOff>123825</xdr:rowOff>
    </xdr:to>
    <xdr:pic>
      <xdr:nvPicPr>
        <xdr:cNvPr id="27" name="Picture 105" descr="Logo_Bleu 100-83-00-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90500"/>
          <a:ext cx="22860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T119"/>
  <sheetViews>
    <sheetView showGridLines="0" zoomScale="55" zoomScaleNormal="55" zoomScalePageLayoutView="60" workbookViewId="0">
      <selection activeCell="E39" sqref="E39:F40"/>
    </sheetView>
  </sheetViews>
  <sheetFormatPr baseColWidth="10" defaultRowHeight="12.75" x14ac:dyDescent="0.2"/>
  <cols>
    <col min="1" max="1" width="11.42578125" style="2"/>
    <col min="2" max="2" width="28" style="2" bestFit="1" customWidth="1"/>
    <col min="3" max="3" width="14.28515625" style="2" customWidth="1"/>
    <col min="4" max="4" width="12.85546875" style="2" customWidth="1"/>
    <col min="5" max="5" width="16" style="2" bestFit="1" customWidth="1"/>
    <col min="6" max="6" width="16.140625" style="2" customWidth="1"/>
    <col min="7" max="7" width="13.7109375" style="2" bestFit="1" customWidth="1"/>
    <col min="8" max="8" width="11.42578125" style="2"/>
    <col min="9" max="9" width="15.7109375" style="2" bestFit="1" customWidth="1"/>
    <col min="10" max="10" width="11.5703125" style="2" bestFit="1" customWidth="1"/>
    <col min="11" max="11" width="12.28515625" style="2" customWidth="1"/>
    <col min="12" max="12" width="12.7109375" style="2" customWidth="1"/>
    <col min="13" max="16" width="11.5703125" style="2" bestFit="1" customWidth="1"/>
    <col min="17" max="17" width="10.42578125" style="2" customWidth="1"/>
    <col min="18" max="18" width="11.5703125" style="2" bestFit="1" customWidth="1"/>
    <col min="19" max="24" width="11.42578125" style="2"/>
    <col min="25" max="25" width="21.28515625" style="2" customWidth="1"/>
    <col min="26" max="16384" width="11.42578125" style="2"/>
  </cols>
  <sheetData>
    <row r="1" spans="2:20" ht="13.5" thickBot="1" x14ac:dyDescent="0.25"/>
    <row r="2" spans="2:20" ht="13.5" thickBot="1" x14ac:dyDescent="0.2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84" t="s">
        <v>100</v>
      </c>
      <c r="R2" s="284"/>
      <c r="S2" s="284"/>
      <c r="T2" s="285"/>
    </row>
    <row r="3" spans="2:20" x14ac:dyDescent="0.2">
      <c r="B3" s="5"/>
      <c r="C3" s="3"/>
      <c r="D3" s="3"/>
      <c r="E3" s="3"/>
      <c r="F3" s="3"/>
      <c r="G3" s="266" t="s">
        <v>81</v>
      </c>
      <c r="H3" s="267"/>
      <c r="I3" s="267"/>
      <c r="J3" s="267"/>
      <c r="K3" s="267"/>
      <c r="L3" s="267"/>
      <c r="M3" s="268"/>
      <c r="N3" s="3"/>
      <c r="O3" s="3"/>
      <c r="P3" s="3"/>
      <c r="Q3" s="286"/>
      <c r="R3" s="286"/>
      <c r="S3" s="286"/>
      <c r="T3" s="287"/>
    </row>
    <row r="4" spans="2:20" ht="13.5" thickBot="1" x14ac:dyDescent="0.25">
      <c r="B4" s="5"/>
      <c r="C4" s="3"/>
      <c r="D4" s="3"/>
      <c r="E4" s="3"/>
      <c r="F4" s="3"/>
      <c r="G4" s="269"/>
      <c r="H4" s="270"/>
      <c r="I4" s="270"/>
      <c r="J4" s="270"/>
      <c r="K4" s="270"/>
      <c r="L4" s="270"/>
      <c r="M4" s="271"/>
      <c r="N4" s="3"/>
      <c r="O4" s="3"/>
      <c r="P4" s="3"/>
      <c r="Q4" s="3"/>
      <c r="R4" s="3"/>
      <c r="S4" s="3"/>
      <c r="T4" s="6"/>
    </row>
    <row r="5" spans="2:20" x14ac:dyDescent="0.2">
      <c r="B5" s="5"/>
      <c r="C5" s="3"/>
      <c r="D5" s="3"/>
      <c r="E5" s="3"/>
      <c r="F5" s="4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2:20" ht="24" customHeight="1" x14ac:dyDescent="0.35">
      <c r="B6" s="5"/>
      <c r="C6" s="3"/>
      <c r="D6" s="3"/>
      <c r="E6" s="3" t="s">
        <v>4</v>
      </c>
      <c r="F6" s="3"/>
      <c r="G6" s="3"/>
      <c r="H6" s="3"/>
      <c r="I6" s="3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6"/>
    </row>
    <row r="7" spans="2:20" ht="14.25" customHeight="1" thickBot="1" x14ac:dyDescent="0.3">
      <c r="B7" s="42"/>
      <c r="C7" s="4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</row>
    <row r="8" spans="2:20" x14ac:dyDescent="0.2">
      <c r="B8" s="5"/>
      <c r="C8" s="3"/>
      <c r="D8" s="3"/>
      <c r="E8" s="3"/>
      <c r="F8" s="3"/>
      <c r="G8" s="3"/>
      <c r="H8" s="3"/>
      <c r="I8" s="3"/>
      <c r="J8" s="273" t="s">
        <v>82</v>
      </c>
      <c r="K8" s="274"/>
      <c r="L8" s="274"/>
      <c r="M8" s="274"/>
      <c r="N8" s="274"/>
      <c r="O8" s="274"/>
      <c r="P8" s="274"/>
      <c r="Q8" s="274"/>
      <c r="R8" s="274"/>
      <c r="S8" s="275"/>
      <c r="T8" s="6"/>
    </row>
    <row r="9" spans="2:20" x14ac:dyDescent="0.2">
      <c r="B9" s="5"/>
      <c r="C9" s="3"/>
      <c r="D9" s="3"/>
      <c r="E9" s="3"/>
      <c r="F9" s="3"/>
      <c r="G9" s="3"/>
      <c r="H9" s="3"/>
      <c r="I9" s="3"/>
      <c r="J9" s="276"/>
      <c r="K9" s="277"/>
      <c r="L9" s="277"/>
      <c r="M9" s="277"/>
      <c r="N9" s="277"/>
      <c r="O9" s="277"/>
      <c r="P9" s="277"/>
      <c r="Q9" s="277"/>
      <c r="R9" s="277"/>
      <c r="S9" s="278"/>
      <c r="T9" s="6"/>
    </row>
    <row r="10" spans="2:20" x14ac:dyDescent="0.2">
      <c r="B10" s="232" t="s">
        <v>33</v>
      </c>
      <c r="C10" s="233"/>
      <c r="D10" s="3"/>
      <c r="E10" s="3"/>
      <c r="F10" s="3"/>
      <c r="G10" s="3"/>
      <c r="H10" s="3"/>
      <c r="I10" s="3"/>
      <c r="J10" s="281" t="s">
        <v>31</v>
      </c>
      <c r="K10" s="282"/>
      <c r="L10" s="282"/>
      <c r="M10" s="282"/>
      <c r="N10" s="282"/>
      <c r="O10" s="280" t="s">
        <v>24</v>
      </c>
      <c r="P10" s="280"/>
      <c r="Q10" s="289" t="s">
        <v>25</v>
      </c>
      <c r="R10" s="290"/>
      <c r="S10" s="291"/>
      <c r="T10" s="6"/>
    </row>
    <row r="11" spans="2:20" ht="13.5" thickBot="1" x14ac:dyDescent="0.25">
      <c r="B11" s="234"/>
      <c r="C11" s="235"/>
      <c r="D11" s="3"/>
      <c r="E11" s="3"/>
      <c r="F11" s="3"/>
      <c r="G11" s="3"/>
      <c r="H11" s="3"/>
      <c r="I11" s="3"/>
      <c r="J11" s="281"/>
      <c r="K11" s="282"/>
      <c r="L11" s="282"/>
      <c r="M11" s="282"/>
      <c r="N11" s="282"/>
      <c r="O11" s="280"/>
      <c r="P11" s="280"/>
      <c r="Q11" s="290"/>
      <c r="R11" s="290"/>
      <c r="S11" s="291"/>
      <c r="T11" s="6"/>
    </row>
    <row r="12" spans="2:20" x14ac:dyDescent="0.2">
      <c r="B12" s="5"/>
      <c r="C12" s="3"/>
      <c r="D12" s="3"/>
      <c r="E12" s="3"/>
      <c r="F12" s="3"/>
      <c r="G12" s="3"/>
      <c r="H12" s="3"/>
      <c r="I12" s="3"/>
      <c r="J12" s="5"/>
      <c r="K12" s="3"/>
      <c r="L12" s="3"/>
      <c r="M12" s="3"/>
      <c r="N12" s="3"/>
      <c r="O12" s="3"/>
      <c r="P12" s="3"/>
      <c r="Q12" s="3"/>
      <c r="R12" s="3"/>
      <c r="S12" s="6"/>
      <c r="T12" s="6"/>
    </row>
    <row r="13" spans="2:20" ht="18" x14ac:dyDescent="0.25">
      <c r="B13" s="43" t="s">
        <v>23</v>
      </c>
      <c r="C13" s="66">
        <v>168</v>
      </c>
      <c r="D13" s="32" t="s">
        <v>3</v>
      </c>
      <c r="E13" s="3"/>
      <c r="F13" s="3"/>
      <c r="G13" s="3"/>
      <c r="H13" s="3"/>
      <c r="I13" s="3"/>
      <c r="J13" s="232" t="str">
        <f>IF(C13=0,"1 : Entrer le Øext canalisation","")</f>
        <v/>
      </c>
      <c r="K13" s="288"/>
      <c r="L13" s="288"/>
      <c r="M13" s="288"/>
      <c r="N13" s="288"/>
      <c r="O13" s="288"/>
      <c r="P13" s="288"/>
      <c r="Q13" s="288"/>
      <c r="R13" s="288"/>
      <c r="S13" s="283"/>
      <c r="T13" s="6"/>
    </row>
    <row r="14" spans="2:20" x14ac:dyDescent="0.2">
      <c r="B14" s="5"/>
      <c r="C14" s="3"/>
      <c r="D14" s="44" t="s">
        <v>20</v>
      </c>
      <c r="E14" s="3"/>
      <c r="F14" s="3"/>
      <c r="G14" s="3"/>
      <c r="H14" s="3"/>
      <c r="I14" s="3"/>
      <c r="J14" s="232"/>
      <c r="K14" s="288"/>
      <c r="L14" s="288"/>
      <c r="M14" s="288"/>
      <c r="N14" s="288"/>
      <c r="O14" s="288"/>
      <c r="P14" s="288"/>
      <c r="Q14" s="288"/>
      <c r="R14" s="288"/>
      <c r="S14" s="283"/>
      <c r="T14" s="6"/>
    </row>
    <row r="15" spans="2:20" x14ac:dyDescent="0.2">
      <c r="B15" s="5"/>
      <c r="C15" s="3"/>
      <c r="D15" s="3"/>
      <c r="E15" s="3"/>
      <c r="F15" s="3"/>
      <c r="G15" s="3"/>
      <c r="H15" s="272" t="s">
        <v>6</v>
      </c>
      <c r="I15" s="3"/>
      <c r="J15" s="232" t="str">
        <f>IF(OR(C13=0,C29&lt;&gt;0),"", "2 : Entrer Epaisseur paroi")</f>
        <v/>
      </c>
      <c r="K15" s="288"/>
      <c r="L15" s="288"/>
      <c r="M15" s="288"/>
      <c r="N15" s="288"/>
      <c r="O15" s="288"/>
      <c r="P15" s="288"/>
      <c r="Q15" s="288"/>
      <c r="R15" s="288"/>
      <c r="S15" s="283"/>
      <c r="T15" s="6"/>
    </row>
    <row r="16" spans="2:20" ht="12.75" customHeight="1" x14ac:dyDescent="0.2">
      <c r="B16" s="45" t="s">
        <v>7</v>
      </c>
      <c r="C16" s="3" t="s">
        <v>5</v>
      </c>
      <c r="D16" s="3"/>
      <c r="E16" s="3"/>
      <c r="F16" s="3"/>
      <c r="G16" s="3"/>
      <c r="H16" s="272"/>
      <c r="I16" s="3"/>
      <c r="J16" s="232"/>
      <c r="K16" s="288"/>
      <c r="L16" s="288"/>
      <c r="M16" s="288"/>
      <c r="N16" s="288"/>
      <c r="O16" s="288"/>
      <c r="P16" s="288"/>
      <c r="Q16" s="288"/>
      <c r="R16" s="288"/>
      <c r="S16" s="283"/>
      <c r="T16" s="6"/>
    </row>
    <row r="17" spans="2:20" ht="13.5" customHeight="1" x14ac:dyDescent="0.2">
      <c r="B17" s="5"/>
      <c r="C17" s="3"/>
      <c r="D17" s="3"/>
      <c r="E17" s="3"/>
      <c r="F17" s="3"/>
      <c r="G17" s="3"/>
      <c r="H17" s="272"/>
      <c r="I17" s="3"/>
      <c r="J17" s="232" t="str">
        <f>IF(OR(C13=0,C29=0,E39&lt;&gt;0),""," 3 : Choisir Øorifice de paroi" )</f>
        <v/>
      </c>
      <c r="K17" s="288"/>
      <c r="L17" s="288"/>
      <c r="M17" s="288"/>
      <c r="N17" s="288"/>
      <c r="O17" s="288"/>
      <c r="P17" s="288" t="str">
        <f>IF(OR(C13=0,C29=0,E39&lt;&gt;0),"",D39)</f>
        <v/>
      </c>
      <c r="Q17" s="288" t="str">
        <f>IF(OR(C13=0,C29=0,E39&lt;&gt;0),"","&lt;Øorifice&lt;")</f>
        <v/>
      </c>
      <c r="R17" s="288"/>
      <c r="S17" s="283" t="str">
        <f>IF(OR(C13=0,C29=0,E39&lt;&gt;0),"",D40)</f>
        <v/>
      </c>
      <c r="T17" s="6"/>
    </row>
    <row r="18" spans="2:20" ht="12.75" customHeight="1" x14ac:dyDescent="0.2">
      <c r="B18" s="5"/>
      <c r="C18" s="3"/>
      <c r="D18" s="3"/>
      <c r="E18" s="3"/>
      <c r="F18" s="3"/>
      <c r="G18" s="3"/>
      <c r="H18" s="3"/>
      <c r="I18" s="3"/>
      <c r="J18" s="232"/>
      <c r="K18" s="288"/>
      <c r="L18" s="288"/>
      <c r="M18" s="288"/>
      <c r="N18" s="288"/>
      <c r="O18" s="288"/>
      <c r="P18" s="288"/>
      <c r="Q18" s="288"/>
      <c r="R18" s="288"/>
      <c r="S18" s="283"/>
      <c r="T18" s="6"/>
    </row>
    <row r="19" spans="2:20" ht="13.5" customHeight="1" x14ac:dyDescent="0.2">
      <c r="B19" s="5"/>
      <c r="C19" s="3"/>
      <c r="D19" s="3"/>
      <c r="E19" s="3"/>
      <c r="F19" s="3"/>
      <c r="G19" s="3"/>
      <c r="H19" s="3"/>
      <c r="I19" s="3"/>
      <c r="J19" s="238" t="str">
        <f>IF(O50&lt;&gt;"","VOTRE PRESSIO EST ALORS PARFAITEMENT DEFINI","")</f>
        <v/>
      </c>
      <c r="K19" s="239"/>
      <c r="L19" s="239"/>
      <c r="M19" s="239"/>
      <c r="N19" s="239"/>
      <c r="O19" s="239"/>
      <c r="P19" s="239"/>
      <c r="Q19" s="239"/>
      <c r="R19" s="239"/>
      <c r="S19" s="240"/>
      <c r="T19" s="6"/>
    </row>
    <row r="20" spans="2:20" x14ac:dyDescent="0.2">
      <c r="B20" s="5"/>
      <c r="C20" s="3"/>
      <c r="D20" s="3"/>
      <c r="E20" s="3"/>
      <c r="F20" s="3"/>
      <c r="G20" s="3"/>
      <c r="H20" s="3"/>
      <c r="I20" s="3"/>
      <c r="J20" s="238"/>
      <c r="K20" s="239"/>
      <c r="L20" s="239"/>
      <c r="M20" s="239"/>
      <c r="N20" s="239"/>
      <c r="O20" s="239"/>
      <c r="P20" s="239"/>
      <c r="Q20" s="239"/>
      <c r="R20" s="239"/>
      <c r="S20" s="240"/>
      <c r="T20" s="6"/>
    </row>
    <row r="21" spans="2:20" x14ac:dyDescent="0.2">
      <c r="B21" s="5"/>
      <c r="C21" s="3"/>
      <c r="D21" s="3"/>
      <c r="E21" s="3"/>
      <c r="F21" s="3"/>
      <c r="G21" s="3"/>
      <c r="H21" s="3"/>
      <c r="I21" s="3"/>
      <c r="J21" s="238"/>
      <c r="K21" s="239"/>
      <c r="L21" s="239"/>
      <c r="M21" s="239"/>
      <c r="N21" s="239"/>
      <c r="O21" s="239"/>
      <c r="P21" s="239"/>
      <c r="Q21" s="239"/>
      <c r="R21" s="239"/>
      <c r="S21" s="240"/>
      <c r="T21" s="6"/>
    </row>
    <row r="22" spans="2:20" ht="12.75" customHeight="1" x14ac:dyDescent="0.2">
      <c r="B22" s="5"/>
      <c r="C22" s="3"/>
      <c r="D22" s="3"/>
      <c r="E22" s="3"/>
      <c r="F22" s="3"/>
      <c r="G22" s="3"/>
      <c r="H22" s="3"/>
      <c r="I22" s="3"/>
      <c r="J22" s="59"/>
      <c r="K22" s="60"/>
      <c r="L22" s="243" t="str">
        <f>IF(E50&lt;&gt;"",D50,"")</f>
        <v/>
      </c>
      <c r="M22" s="243"/>
      <c r="N22" s="241" t="str">
        <f>IF(E50&lt;&gt;"",E50,"")</f>
        <v/>
      </c>
      <c r="O22" s="243" t="str">
        <f>IF(E50&lt;&gt;"",O50,"")</f>
        <v/>
      </c>
      <c r="P22" s="60"/>
      <c r="Q22" s="60"/>
      <c r="R22" s="60"/>
      <c r="S22" s="61"/>
      <c r="T22" s="6"/>
    </row>
    <row r="23" spans="2:20" ht="12.75" customHeight="1" thickBot="1" x14ac:dyDescent="0.25">
      <c r="B23" s="5"/>
      <c r="C23" s="3"/>
      <c r="D23" s="3"/>
      <c r="E23" s="3"/>
      <c r="F23" s="3"/>
      <c r="G23" s="3"/>
      <c r="H23" s="3"/>
      <c r="I23" s="3"/>
      <c r="J23" s="62"/>
      <c r="K23" s="63"/>
      <c r="L23" s="244"/>
      <c r="M23" s="244"/>
      <c r="N23" s="242"/>
      <c r="O23" s="244"/>
      <c r="P23" s="63"/>
      <c r="Q23" s="63"/>
      <c r="R23" s="63"/>
      <c r="S23" s="64"/>
      <c r="T23" s="6"/>
    </row>
    <row r="24" spans="2:20" ht="23.25" x14ac:dyDescent="0.35">
      <c r="B24" s="5"/>
      <c r="C24" s="3"/>
      <c r="D24" s="3"/>
      <c r="E24" s="3"/>
      <c r="F24" s="3"/>
      <c r="G24" s="3"/>
      <c r="H24" s="3"/>
      <c r="I24" s="3"/>
      <c r="J24" s="236" t="str">
        <f>F48</f>
        <v/>
      </c>
      <c r="K24" s="237"/>
      <c r="L24" s="237"/>
      <c r="M24" s="237"/>
      <c r="N24" s="237"/>
      <c r="O24" s="237"/>
      <c r="P24" s="237"/>
      <c r="Q24" s="237"/>
      <c r="R24" s="237"/>
      <c r="S24" s="237"/>
      <c r="T24" s="6"/>
    </row>
    <row r="25" spans="2:20" ht="23.25" x14ac:dyDescent="0.35">
      <c r="B25" s="5"/>
      <c r="C25" s="65"/>
      <c r="D25" s="3"/>
      <c r="E25" s="3"/>
      <c r="F25" s="3"/>
      <c r="G25" s="3"/>
      <c r="H25" s="3"/>
      <c r="I25" s="3"/>
      <c r="J25" s="236" t="str">
        <f>IF(O22&lt;=3, "ATTENTION nombre de maillons trop faible veuillez nous consulter","")</f>
        <v/>
      </c>
      <c r="K25" s="237"/>
      <c r="L25" s="237"/>
      <c r="M25" s="237"/>
      <c r="N25" s="237"/>
      <c r="O25" s="237"/>
      <c r="P25" s="237"/>
      <c r="Q25" s="237"/>
      <c r="R25" s="237"/>
      <c r="S25" s="237"/>
      <c r="T25" s="6"/>
    </row>
    <row r="26" spans="2:20" ht="18" customHeight="1" x14ac:dyDescent="0.25">
      <c r="B26" s="232" t="s">
        <v>34</v>
      </c>
      <c r="C26" s="233"/>
      <c r="D26" s="3"/>
      <c r="E26" s="3"/>
      <c r="F26" s="3"/>
      <c r="G26" s="3"/>
      <c r="H26" s="3"/>
      <c r="I26" s="3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6"/>
    </row>
    <row r="27" spans="2:20" ht="13.5" customHeight="1" thickBot="1" x14ac:dyDescent="0.25">
      <c r="B27" s="234"/>
      <c r="C27" s="23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6"/>
    </row>
    <row r="28" spans="2:20" ht="15.75" x14ac:dyDescent="0.25">
      <c r="B28" s="5"/>
      <c r="C28" s="3"/>
      <c r="D28" s="3"/>
      <c r="E28" s="3"/>
      <c r="F28" s="3"/>
      <c r="G28" s="3"/>
      <c r="H28" s="3"/>
      <c r="I28" s="3"/>
      <c r="J28" s="22" t="s">
        <v>9</v>
      </c>
      <c r="K28" s="245" t="s">
        <v>10</v>
      </c>
      <c r="L28" s="246"/>
      <c r="M28" s="246"/>
      <c r="N28" s="246"/>
      <c r="O28" s="246"/>
      <c r="P28" s="246"/>
      <c r="Q28" s="246"/>
      <c r="R28" s="246"/>
      <c r="S28" s="247"/>
      <c r="T28" s="6"/>
    </row>
    <row r="29" spans="2:20" ht="18" x14ac:dyDescent="0.25">
      <c r="B29" s="43" t="s">
        <v>21</v>
      </c>
      <c r="C29" s="66">
        <v>200</v>
      </c>
      <c r="D29" s="32" t="s">
        <v>3</v>
      </c>
      <c r="E29" s="3" t="s">
        <v>8</v>
      </c>
      <c r="F29" s="3"/>
      <c r="G29" s="3"/>
      <c r="H29" s="3"/>
      <c r="I29" s="3"/>
      <c r="J29" s="23">
        <v>100</v>
      </c>
      <c r="K29" s="23">
        <v>108</v>
      </c>
      <c r="L29" s="23">
        <v>111</v>
      </c>
      <c r="M29" s="23">
        <v>121</v>
      </c>
      <c r="N29" s="23">
        <v>127</v>
      </c>
      <c r="O29" s="23"/>
      <c r="P29" s="23"/>
      <c r="Q29" s="23"/>
      <c r="R29" s="23"/>
      <c r="S29" s="24"/>
      <c r="T29" s="6"/>
    </row>
    <row r="30" spans="2:20" x14ac:dyDescent="0.2">
      <c r="B30" s="5"/>
      <c r="C30" s="3"/>
      <c r="D30" s="3"/>
      <c r="E30" s="3"/>
      <c r="F30" s="3"/>
      <c r="G30" s="3"/>
      <c r="H30" s="3"/>
      <c r="I30" s="3"/>
      <c r="J30" s="25">
        <v>125</v>
      </c>
      <c r="K30" s="22">
        <v>127</v>
      </c>
      <c r="L30" s="25">
        <v>133</v>
      </c>
      <c r="M30" s="25">
        <v>137</v>
      </c>
      <c r="N30" s="25">
        <v>141</v>
      </c>
      <c r="O30" s="25">
        <v>146</v>
      </c>
      <c r="P30" s="25">
        <v>152</v>
      </c>
      <c r="Q30" s="25"/>
      <c r="R30" s="25"/>
      <c r="S30" s="26"/>
      <c r="T30" s="6"/>
    </row>
    <row r="31" spans="2:20" x14ac:dyDescent="0.2">
      <c r="B31" s="5"/>
      <c r="C31" s="3"/>
      <c r="D31" s="3"/>
      <c r="E31" s="3"/>
      <c r="F31" s="3"/>
      <c r="G31" s="3"/>
      <c r="H31" s="3"/>
      <c r="I31" s="3"/>
      <c r="J31" s="23">
        <v>150</v>
      </c>
      <c r="K31" s="23">
        <v>159</v>
      </c>
      <c r="L31" s="23">
        <v>160</v>
      </c>
      <c r="M31" s="23">
        <v>162</v>
      </c>
      <c r="N31" s="23">
        <v>168</v>
      </c>
      <c r="O31" s="23">
        <v>176</v>
      </c>
      <c r="P31" s="23">
        <v>182</v>
      </c>
      <c r="Q31" s="23">
        <v>184</v>
      </c>
      <c r="R31" s="23">
        <v>187</v>
      </c>
      <c r="S31" s="24">
        <v>196</v>
      </c>
      <c r="T31" s="6"/>
    </row>
    <row r="32" spans="2:20" x14ac:dyDescent="0.2">
      <c r="B32" s="5"/>
      <c r="C32" s="3"/>
      <c r="D32" s="3"/>
      <c r="E32" s="3"/>
      <c r="F32" s="3"/>
      <c r="G32" s="3"/>
      <c r="H32" s="3"/>
      <c r="I32" s="3"/>
      <c r="J32" s="25">
        <v>200</v>
      </c>
      <c r="K32" s="25">
        <v>210</v>
      </c>
      <c r="L32" s="25">
        <v>222</v>
      </c>
      <c r="M32" s="25">
        <v>225</v>
      </c>
      <c r="N32" s="25">
        <v>228</v>
      </c>
      <c r="O32" s="25">
        <v>248</v>
      </c>
      <c r="P32" s="25">
        <v>254</v>
      </c>
      <c r="Q32" s="25"/>
      <c r="R32" s="25"/>
      <c r="S32" s="26"/>
      <c r="T32" s="6"/>
    </row>
    <row r="33" spans="2:20" x14ac:dyDescent="0.2">
      <c r="B33" s="5"/>
      <c r="C33" s="7"/>
      <c r="D33" s="7"/>
      <c r="E33" s="3"/>
      <c r="F33" s="3"/>
      <c r="G33" s="7"/>
      <c r="H33" s="7"/>
      <c r="I33" s="7"/>
      <c r="J33" s="23">
        <v>250</v>
      </c>
      <c r="K33" s="23">
        <v>254</v>
      </c>
      <c r="L33" s="23">
        <v>276</v>
      </c>
      <c r="M33" s="23">
        <v>299</v>
      </c>
      <c r="N33" s="23"/>
      <c r="O33" s="23"/>
      <c r="P33" s="23"/>
      <c r="Q33" s="23"/>
      <c r="R33" s="23"/>
      <c r="S33" s="24"/>
      <c r="T33" s="6"/>
    </row>
    <row r="34" spans="2:20" x14ac:dyDescent="0.2">
      <c r="B34" s="5"/>
      <c r="C34" s="3"/>
      <c r="D34" s="3"/>
      <c r="E34" s="248" t="s">
        <v>32</v>
      </c>
      <c r="F34" s="249"/>
      <c r="G34" s="3"/>
      <c r="H34" s="3"/>
      <c r="I34" s="3"/>
      <c r="J34" s="27">
        <v>300</v>
      </c>
      <c r="K34" s="27">
        <v>342</v>
      </c>
      <c r="L34" s="27">
        <v>355</v>
      </c>
      <c r="M34" s="27"/>
      <c r="N34" s="27"/>
      <c r="O34" s="27"/>
      <c r="P34" s="27"/>
      <c r="Q34" s="27"/>
      <c r="R34" s="27"/>
      <c r="S34" s="28"/>
      <c r="T34" s="6"/>
    </row>
    <row r="35" spans="2:20" ht="12.75" customHeight="1" x14ac:dyDescent="0.2">
      <c r="B35" s="5"/>
      <c r="C35" s="3"/>
      <c r="D35" s="3"/>
      <c r="E35" s="249"/>
      <c r="F35" s="249"/>
      <c r="G35" s="3"/>
      <c r="H35" s="3"/>
      <c r="I35" s="3"/>
      <c r="J35" s="3"/>
      <c r="K35" s="3"/>
      <c r="L35" s="3"/>
      <c r="M35" s="3"/>
      <c r="N35" s="3"/>
      <c r="O35" s="3"/>
      <c r="P35" s="14" t="s">
        <v>15</v>
      </c>
      <c r="Q35" s="3"/>
      <c r="R35" s="3"/>
      <c r="S35" s="3"/>
      <c r="T35" s="6"/>
    </row>
    <row r="36" spans="2:20" ht="19.5" customHeight="1" thickBot="1" x14ac:dyDescent="0.25">
      <c r="B36" s="5"/>
      <c r="C36" s="3"/>
      <c r="D36" s="3"/>
      <c r="E36" s="250"/>
      <c r="F36" s="250"/>
      <c r="G36" s="10"/>
      <c r="H36" s="11"/>
      <c r="I36" s="12"/>
      <c r="J36" s="3"/>
      <c r="K36" s="3"/>
      <c r="L36" s="3"/>
      <c r="M36" s="3"/>
      <c r="N36" s="3"/>
      <c r="O36" s="3"/>
      <c r="P36" s="14" t="s">
        <v>14</v>
      </c>
      <c r="Q36" s="3"/>
      <c r="R36" s="3" t="s">
        <v>11</v>
      </c>
      <c r="S36" s="3"/>
      <c r="T36" s="6"/>
    </row>
    <row r="37" spans="2:20" x14ac:dyDescent="0.2">
      <c r="B37" s="51" t="s">
        <v>22</v>
      </c>
      <c r="C37" s="256" t="s">
        <v>6</v>
      </c>
      <c r="D37" s="257"/>
      <c r="E37" s="296" t="s">
        <v>26</v>
      </c>
      <c r="F37" s="297"/>
      <c r="G37" s="251" t="s">
        <v>16</v>
      </c>
      <c r="H37" s="252"/>
      <c r="I37" s="253"/>
      <c r="J37" s="3"/>
      <c r="K37" s="3"/>
      <c r="L37" s="3"/>
      <c r="M37" s="3"/>
      <c r="N37" s="3"/>
      <c r="O37" s="3"/>
      <c r="P37" s="14" t="s">
        <v>12</v>
      </c>
      <c r="Q37" s="3"/>
      <c r="R37" s="14" t="s">
        <v>13</v>
      </c>
      <c r="S37" s="3"/>
      <c r="T37" s="6"/>
    </row>
    <row r="38" spans="2:20" ht="19.5" customHeight="1" x14ac:dyDescent="0.2">
      <c r="B38" s="52" t="s">
        <v>92</v>
      </c>
      <c r="C38" s="258"/>
      <c r="D38" s="259"/>
      <c r="E38" s="258"/>
      <c r="F38" s="259"/>
      <c r="G38" s="254">
        <f>IF(E39&lt;&gt;0,IF('Tab Calculs (protégés)'!P116&lt;B39,"Diamètre orifice trop petit",(E39-C13)/2),"")</f>
        <v>41</v>
      </c>
      <c r="H38" s="254"/>
      <c r="I38" s="255"/>
      <c r="J38" s="3"/>
      <c r="K38" s="3"/>
      <c r="L38" s="3"/>
      <c r="M38" s="3"/>
      <c r="N38" s="3"/>
      <c r="O38" s="3"/>
      <c r="P38" s="3"/>
      <c r="Q38" s="3"/>
      <c r="R38" s="3"/>
      <c r="S38" s="3"/>
      <c r="T38" s="6"/>
    </row>
    <row r="39" spans="2:20" ht="15.75" customHeight="1" x14ac:dyDescent="0.2">
      <c r="B39" s="315">
        <f>IF(AND(C13&lt;&gt;0,C29&lt;&gt;0),'Tab Calculs (protégés)'!S113,"")</f>
        <v>9</v>
      </c>
      <c r="C39" s="57" t="s">
        <v>27</v>
      </c>
      <c r="D39" s="50">
        <f>IF(AND(C13&lt;&gt;0,C29&lt;&gt;0),ROUNDUP('Tab Calculs (protégés)'!V113,0),"")</f>
        <v>186</v>
      </c>
      <c r="E39" s="262">
        <v>250</v>
      </c>
      <c r="F39" s="263"/>
      <c r="G39" s="305" t="str">
        <f>IF(E39&lt;&gt;0,IF(OR(E39&lt;D39,E39&gt;D40),"MAUVAIS CHOIX Øorifice - si besoin voir Service Technique",""),"")</f>
        <v/>
      </c>
      <c r="H39" s="305"/>
      <c r="I39" s="305"/>
      <c r="J39" s="3"/>
      <c r="K39" s="3"/>
      <c r="L39" s="3"/>
      <c r="M39" s="3"/>
      <c r="N39" s="3"/>
      <c r="O39" s="3"/>
      <c r="P39" s="3"/>
      <c r="Q39" s="3"/>
      <c r="R39" s="3"/>
      <c r="S39" s="3"/>
      <c r="T39" s="6"/>
    </row>
    <row r="40" spans="2:20" ht="15.75" customHeight="1" x14ac:dyDescent="0.2">
      <c r="B40" s="316"/>
      <c r="C40" s="58" t="s">
        <v>28</v>
      </c>
      <c r="D40" s="53">
        <f>IF(AND(C13&lt;&gt;0,C29&lt;&gt;0),ROUNDDOWN('Tab Calculs (protégés)'!V112,0),"")</f>
        <v>364</v>
      </c>
      <c r="E40" s="264"/>
      <c r="F40" s="265"/>
      <c r="G40" s="305"/>
      <c r="H40" s="305"/>
      <c r="I40" s="305"/>
      <c r="J40" s="3"/>
      <c r="K40" s="3"/>
      <c r="L40" s="3"/>
      <c r="M40" s="3"/>
      <c r="N40" s="3"/>
      <c r="O40" s="3"/>
      <c r="P40" s="3"/>
      <c r="Q40" s="3"/>
      <c r="R40" s="3"/>
      <c r="S40" s="3"/>
      <c r="T40" s="6"/>
    </row>
    <row r="41" spans="2:20" ht="15.75" x14ac:dyDescent="0.25">
      <c r="B41" s="5"/>
      <c r="C41" s="3"/>
      <c r="D41" s="3"/>
      <c r="E41" s="295"/>
      <c r="F41" s="295"/>
      <c r="G41" s="169" t="str">
        <f>IF(F48&lt;&gt;"","",IF('Tab Calculs (protégés)'!S136="OK","","Le joint pouvant être défini n'est pas optimal - MERCI DE CONTACTER LE SERVICE TECHNIQUE NORHAM ou ajuster le Øorifice paroi "))</f>
        <v xml:space="preserve">Le joint pouvant être défini n'est pas optimal - MERCI DE CONTACTER LE SERVICE TECHNIQUE NORHAM ou ajuster le Øorifice paroi 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</row>
    <row r="42" spans="2:20" x14ac:dyDescent="0.2"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</row>
    <row r="43" spans="2:20" ht="13.5" thickBot="1" x14ac:dyDescent="0.25"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6"/>
    </row>
    <row r="44" spans="2:20" ht="18.75" thickBot="1" x14ac:dyDescent="0.3">
      <c r="B44" s="260" t="s">
        <v>90</v>
      </c>
      <c r="C44" s="261"/>
      <c r="D44" s="13"/>
      <c r="E44" s="13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6"/>
    </row>
    <row r="45" spans="2:20" ht="12.75" customHeight="1" x14ac:dyDescent="0.2">
      <c r="B45" s="46" t="s">
        <v>87</v>
      </c>
      <c r="C45" s="317" t="s">
        <v>0</v>
      </c>
      <c r="D45" s="318"/>
      <c r="E45" s="73" t="s">
        <v>19</v>
      </c>
      <c r="F45" s="300" t="s">
        <v>80</v>
      </c>
      <c r="G45" s="301"/>
      <c r="H45" s="3"/>
      <c r="I45" s="306" t="str">
        <f>IF(G41&lt;&gt;"","",IF(AND(F47&gt;C29,E39&lt;&gt;0,G39&lt;&gt;0),"CONTACTER LE SERVICE TECHNIQUE NORHAM",IF(E39&lt;&gt;0,IF(C29&gt;=3*F47,"LA PAROI EST TRES EPAISSE - PREVOIR ALORS 2 PRESSIO  1 DE CHAQUE CÔTE DE LA PAROI","1 SEUL PRESSIO EST NECESSAIRE"),"")))</f>
        <v/>
      </c>
      <c r="J45" s="307"/>
      <c r="K45" s="307"/>
      <c r="L45" s="307"/>
      <c r="M45" s="307"/>
      <c r="N45" s="307"/>
      <c r="O45" s="307"/>
      <c r="P45" s="308"/>
      <c r="Q45" s="3"/>
      <c r="R45" s="3"/>
      <c r="S45" s="3"/>
      <c r="T45" s="6"/>
    </row>
    <row r="46" spans="2:20" ht="15.75" customHeight="1" x14ac:dyDescent="0.25">
      <c r="B46" s="143" t="str">
        <f>IF(AND(E39&gt;=D39,E39&lt;=D40,C13&lt;&gt;0,C29&lt;&gt;0,G41=""),'Tab Calculs (protégés)'!S116,"")</f>
        <v/>
      </c>
      <c r="C46" s="21" t="s">
        <v>17</v>
      </c>
      <c r="D46" s="21" t="s">
        <v>18</v>
      </c>
      <c r="E46" s="21" t="s">
        <v>3</v>
      </c>
      <c r="F46" s="302" t="s">
        <v>3</v>
      </c>
      <c r="G46" s="303"/>
      <c r="H46" s="3"/>
      <c r="I46" s="309"/>
      <c r="J46" s="310"/>
      <c r="K46" s="310"/>
      <c r="L46" s="310"/>
      <c r="M46" s="310"/>
      <c r="N46" s="310"/>
      <c r="O46" s="310"/>
      <c r="P46" s="311"/>
      <c r="Q46" s="3"/>
      <c r="R46" s="3"/>
      <c r="S46" s="3"/>
      <c r="T46" s="6"/>
    </row>
    <row r="47" spans="2:20" ht="13.5" customHeight="1" thickBot="1" x14ac:dyDescent="0.25">
      <c r="B47" s="47"/>
      <c r="C47" s="40" t="str">
        <f>IF(AND(E39&gt;=D39,E39&lt;=D40,C13&lt;&gt;0,C29&lt;&gt;0,G41=""),'Tab Calculs (protégés)'!S117,"")</f>
        <v/>
      </c>
      <c r="D47" s="40" t="str">
        <f>IF(AND(E39&gt;=D39,E39&lt;=D40,C13&lt;&gt;0,C29&lt;&gt;0,G41=""),'Tab Calculs (protégés)'!S118,"")</f>
        <v/>
      </c>
      <c r="E47" s="40" t="str">
        <f>IF(AND(E39&gt;=D39,E39&lt;=D40,C13&lt;&gt;0,C29&lt;&gt;0,G41=""),'Tab Calculs (protégés)'!S119,"")</f>
        <v/>
      </c>
      <c r="F47" s="292" t="str">
        <f>IF(AND(E39&gt;=D39,E39&lt;=D40,C13&lt;&gt;0,C29&lt;&gt;0),'Tab Calculs (protégés)'!S120,"")</f>
        <v/>
      </c>
      <c r="G47" s="293"/>
      <c r="H47" s="3"/>
      <c r="I47" s="312"/>
      <c r="J47" s="313"/>
      <c r="K47" s="313"/>
      <c r="L47" s="313"/>
      <c r="M47" s="313"/>
      <c r="N47" s="313"/>
      <c r="O47" s="313"/>
      <c r="P47" s="314"/>
      <c r="Q47" s="3"/>
      <c r="R47" s="3"/>
      <c r="S47" s="3"/>
      <c r="T47" s="6"/>
    </row>
    <row r="48" spans="2:20" ht="28.5" customHeight="1" x14ac:dyDescent="0.2">
      <c r="B48" s="48"/>
      <c r="C48" s="49"/>
      <c r="D48" s="49"/>
      <c r="E48" s="49"/>
      <c r="F48" s="304" t="str">
        <f>IF('Tab Calculs (protégés)'!S120="","",IF(E39&lt;&gt;0,IF(F47&gt;C29,"PROBLEME : PAROI TROP FINE",""),""))</f>
        <v/>
      </c>
      <c r="G48" s="304"/>
      <c r="H48" s="3"/>
      <c r="I48" s="33"/>
      <c r="J48" s="33"/>
      <c r="K48" s="33"/>
      <c r="L48" s="33"/>
      <c r="M48" s="33"/>
      <c r="N48" s="33"/>
      <c r="O48" s="33"/>
      <c r="P48" s="33"/>
      <c r="Q48" s="3"/>
      <c r="R48" s="3"/>
      <c r="S48" s="3"/>
      <c r="T48" s="6"/>
    </row>
    <row r="49" spans="2:20" ht="16.5" thickBot="1" x14ac:dyDescent="0.3">
      <c r="B49" s="5"/>
      <c r="C49" s="3"/>
      <c r="D49" s="3"/>
      <c r="E49" s="3"/>
      <c r="G49" s="168"/>
      <c r="H49" s="166"/>
      <c r="I49" s="165"/>
      <c r="J49" s="166"/>
      <c r="K49" s="167"/>
      <c r="L49" s="167"/>
      <c r="M49" s="3"/>
      <c r="N49" s="3"/>
      <c r="O49" s="3"/>
      <c r="P49" s="3"/>
      <c r="Q49" s="3"/>
      <c r="R49" s="3"/>
      <c r="S49" s="3"/>
      <c r="T49" s="6"/>
    </row>
    <row r="50" spans="2:20" s="18" customFormat="1" ht="18.75" thickBot="1" x14ac:dyDescent="0.3">
      <c r="B50" s="321" t="s">
        <v>88</v>
      </c>
      <c r="C50" s="322"/>
      <c r="D50" s="104" t="str">
        <f>IF(E50="","",IF(OR(B46=615,B46=625,B46=700),"IS","IS ou IL"))</f>
        <v/>
      </c>
      <c r="E50" s="105" t="str">
        <f>IF(F48="",B46,"")</f>
        <v/>
      </c>
      <c r="F50" s="101" t="str">
        <f>IF(AND(F48="",G41=""),IF(AND(E39&gt;=D39,E39&lt;=D40,C13&lt;&gt;0,C29&lt;&gt;0),'Tab Calculs (protégés)'!L130,""),"")</f>
        <v/>
      </c>
      <c r="G50" s="102" t="s">
        <v>91</v>
      </c>
      <c r="H50" s="103"/>
      <c r="I50" s="103"/>
      <c r="J50" s="29"/>
      <c r="K50" s="29"/>
      <c r="L50" s="31" t="str">
        <f>IF(AND(F48="",G41=""),C47,"")</f>
        <v/>
      </c>
      <c r="M50" s="320" t="s">
        <v>30</v>
      </c>
      <c r="N50" s="320"/>
      <c r="O50" s="56" t="str">
        <f>F50</f>
        <v/>
      </c>
      <c r="P50" s="20"/>
      <c r="Q50" s="20"/>
      <c r="R50" s="20"/>
      <c r="S50" s="20"/>
      <c r="T50" s="37"/>
    </row>
    <row r="51" spans="2:20" s="18" customFormat="1" ht="18.75" thickBot="1" x14ac:dyDescent="0.3">
      <c r="B51" s="298" t="s">
        <v>29</v>
      </c>
      <c r="C51" s="299"/>
      <c r="D51" s="106" t="str">
        <f>IF(AND(F48="",G41=""),IF(AND(E39&gt;=D39,E39&lt;=D40,C13&lt;&gt;0,C29&lt;&gt;0),E39-(G38-L50)*2,""),"")</f>
        <v/>
      </c>
      <c r="E51" s="107" t="str">
        <f>IF(AND(F48="",G41=""),IF(AND(E39&gt;=D39,E39&lt;=D40,C13&lt;&gt;0,C29&lt;&gt;0),ROUNDDOWN(D51+2*(D47-L50),0),""),"")</f>
        <v/>
      </c>
      <c r="F51" s="228" t="s">
        <v>70</v>
      </c>
      <c r="G51" s="229"/>
      <c r="H51" s="319" t="str">
        <f>IF(B46="","",'Tab Calculs (protégés)'!S122)</f>
        <v/>
      </c>
      <c r="I51" s="261"/>
      <c r="J51" s="228" t="s">
        <v>77</v>
      </c>
      <c r="K51" s="229"/>
      <c r="L51" s="230" t="str">
        <f>IF(B46="","",'Tab Calculs (protégés)'!S123*'Tab Calculs (protégés)'!L130)</f>
        <v/>
      </c>
      <c r="M51" s="231"/>
      <c r="N51" s="54"/>
      <c r="O51" s="55"/>
      <c r="P51" s="20"/>
      <c r="Q51" s="20"/>
      <c r="R51" s="20"/>
      <c r="S51" s="20"/>
      <c r="T51" s="37"/>
    </row>
    <row r="52" spans="2:20" s="18" customFormat="1" ht="18" x14ac:dyDescent="0.25">
      <c r="B52" s="36"/>
      <c r="C52" s="20"/>
      <c r="D52" s="20"/>
      <c r="E52" s="20"/>
      <c r="F52" s="20"/>
      <c r="G52" s="15"/>
      <c r="H52" s="16"/>
      <c r="I52" s="17"/>
      <c r="J52" s="16"/>
      <c r="K52" s="20"/>
      <c r="L52" s="20"/>
      <c r="M52" s="20"/>
      <c r="N52" s="20"/>
      <c r="O52" s="20"/>
      <c r="P52" s="20"/>
      <c r="Q52" s="20"/>
      <c r="R52" s="20"/>
      <c r="S52" s="20"/>
      <c r="T52" s="37"/>
    </row>
    <row r="53" spans="2:20" ht="13.5" thickBot="1" x14ac:dyDescent="0.25">
      <c r="B53" s="14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9"/>
    </row>
    <row r="58" spans="2:20" ht="12.75" customHeight="1" x14ac:dyDescent="0.2"/>
    <row r="59" spans="2:20" ht="12.75" customHeight="1" x14ac:dyDescent="0.2"/>
    <row r="60" spans="2:20" ht="12.75" customHeight="1" x14ac:dyDescent="0.2"/>
    <row r="69" ht="12.75" customHeight="1" x14ac:dyDescent="0.2"/>
    <row r="70" ht="12.75" customHeight="1" x14ac:dyDescent="0.2"/>
    <row r="86" ht="12.75" customHeight="1" x14ac:dyDescent="0.2"/>
    <row r="87" ht="12.75" customHeight="1" x14ac:dyDescent="0.2"/>
    <row r="119" spans="15:15" x14ac:dyDescent="0.2">
      <c r="O119" s="3"/>
    </row>
  </sheetData>
  <sheetProtection algorithmName="SHA-512" hashValue="w0QT6SadYUSOFo6q97T1xwi8AZYD+ccKBt8y99ycxR6paP0IfQSL2JKz+lT4Ss3yDbgQpZb8Iu3gwG4+qJyMGQ==" saltValue="q6OPFD3B4BhYFPngGfVZZg==" spinCount="100000" sheet="1" objects="1" scenarios="1" selectLockedCells="1"/>
  <protectedRanges>
    <protectedRange sqref="C13 C29 E39:F40" name="Plage1"/>
  </protectedRanges>
  <customSheetViews>
    <customSheetView guid="{BF2832C1-911B-4D2D-B3A7-600F3D1D009B}" scale="66" showGridLines="0" fitToPage="1" hiddenRows="1" showRuler="0">
      <selection activeCell="S78" sqref="A1:S78"/>
      <pageMargins left="0.78740157499999996" right="0.78740157499999996" top="0.984251969" bottom="0.984251969" header="0.4921259845" footer="0.4921259845"/>
      <pageSetup paperSize="9" scale="41" orientation="landscape" horizontalDpi="300" verticalDpi="300" r:id="rId1"/>
      <headerFooter alignWithMargins="0">
        <oddHeader>&amp;LNORHAM&amp;CFeuille de calcul INNERLYNX&amp;R&amp;D</oddHeader>
      </headerFooter>
    </customSheetView>
  </customSheetViews>
  <mergeCells count="47">
    <mergeCell ref="F47:G47"/>
    <mergeCell ref="J26:S26"/>
    <mergeCell ref="E41:F41"/>
    <mergeCell ref="E37:F38"/>
    <mergeCell ref="B51:C51"/>
    <mergeCell ref="F45:G45"/>
    <mergeCell ref="F46:G46"/>
    <mergeCell ref="F48:G48"/>
    <mergeCell ref="G39:I40"/>
    <mergeCell ref="I45:P47"/>
    <mergeCell ref="B39:B40"/>
    <mergeCell ref="C45:D45"/>
    <mergeCell ref="F51:G51"/>
    <mergeCell ref="H51:I51"/>
    <mergeCell ref="M50:N50"/>
    <mergeCell ref="B50:C50"/>
    <mergeCell ref="E39:F40"/>
    <mergeCell ref="G3:M4"/>
    <mergeCell ref="H15:H17"/>
    <mergeCell ref="J8:S9"/>
    <mergeCell ref="J6:S6"/>
    <mergeCell ref="O10:P11"/>
    <mergeCell ref="J10:N11"/>
    <mergeCell ref="S17:S18"/>
    <mergeCell ref="Q2:T3"/>
    <mergeCell ref="J17:O18"/>
    <mergeCell ref="P17:P18"/>
    <mergeCell ref="Q10:S11"/>
    <mergeCell ref="Q17:R18"/>
    <mergeCell ref="J15:S16"/>
    <mergeCell ref="J13:S14"/>
    <mergeCell ref="J51:K51"/>
    <mergeCell ref="L51:M51"/>
    <mergeCell ref="B10:C11"/>
    <mergeCell ref="J24:S24"/>
    <mergeCell ref="B26:C27"/>
    <mergeCell ref="J19:S21"/>
    <mergeCell ref="N22:N23"/>
    <mergeCell ref="O22:O23"/>
    <mergeCell ref="K28:S28"/>
    <mergeCell ref="E34:F36"/>
    <mergeCell ref="L22:M23"/>
    <mergeCell ref="J25:S25"/>
    <mergeCell ref="G37:I37"/>
    <mergeCell ref="G38:I38"/>
    <mergeCell ref="C37:D38"/>
    <mergeCell ref="B44:C44"/>
  </mergeCells>
  <phoneticPr fontId="2" type="noConversion"/>
  <conditionalFormatting sqref="J13:S14">
    <cfRule type="expression" dxfId="10" priority="1" stopIfTrue="1">
      <formula>$C$13=0</formula>
    </cfRule>
  </conditionalFormatting>
  <conditionalFormatting sqref="J15:S16">
    <cfRule type="expression" dxfId="9" priority="2" stopIfTrue="1">
      <formula>$J$15&lt;&gt;""</formula>
    </cfRule>
  </conditionalFormatting>
  <conditionalFormatting sqref="J17:S18">
    <cfRule type="expression" dxfId="8" priority="3" stopIfTrue="1">
      <formula>$J$17&lt;&gt;""</formula>
    </cfRule>
  </conditionalFormatting>
  <conditionalFormatting sqref="J19:S21">
    <cfRule type="expression" dxfId="7" priority="4" stopIfTrue="1">
      <formula>$J$19&lt;&gt;""</formula>
    </cfRule>
  </conditionalFormatting>
  <conditionalFormatting sqref="J23:K23 J22:L22 N22:S23">
    <cfRule type="expression" dxfId="6" priority="6" stopIfTrue="1">
      <formula>$L$22&lt;&gt;""</formula>
    </cfRule>
  </conditionalFormatting>
  <pageMargins left="0.27559055118110237" right="0.27559055118110237" top="0.35433070866141736" bottom="0.39370078740157483" header="0.19685039370078741" footer="0.19685039370078741"/>
  <pageSetup paperSize="9" scale="42" orientation="landscape" horizontalDpi="300" verticalDpi="300" r:id="rId2"/>
  <headerFooter alignWithMargins="0">
    <oddHeader>&amp;LNORHAM&amp;CFeuille de calcul INNERLYNX&amp;R&amp;D</oddHeader>
    <oddFooter>&amp;LDoc réalisé et imprimé le : &amp;D&amp;R&amp;Z&amp;F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2:V137"/>
  <sheetViews>
    <sheetView zoomScaleNormal="100" workbookViewId="0">
      <selection activeCell="Q8" sqref="Q8"/>
    </sheetView>
  </sheetViews>
  <sheetFormatPr baseColWidth="10" defaultRowHeight="12.75" x14ac:dyDescent="0.2"/>
  <cols>
    <col min="1" max="1" width="19.7109375" customWidth="1"/>
    <col min="6" max="6" width="13" bestFit="1" customWidth="1"/>
    <col min="17" max="17" width="12.5703125" bestFit="1" customWidth="1"/>
  </cols>
  <sheetData>
    <row r="2" spans="1:13" ht="25.5" customHeight="1" x14ac:dyDescent="0.2"/>
    <row r="3" spans="1:13" ht="12" customHeight="1" x14ac:dyDescent="0.2"/>
    <row r="5" spans="1:13" s="124" customFormat="1" ht="24" customHeight="1" x14ac:dyDescent="0.2">
      <c r="A5" s="123" t="s">
        <v>38</v>
      </c>
      <c r="C5" s="333" t="s">
        <v>84</v>
      </c>
      <c r="D5" s="334"/>
      <c r="E5" s="137" t="s">
        <v>79</v>
      </c>
      <c r="G5" s="137" t="s">
        <v>85</v>
      </c>
      <c r="H5" s="328" t="s">
        <v>86</v>
      </c>
      <c r="I5" s="329"/>
      <c r="K5" s="334" t="s">
        <v>74</v>
      </c>
      <c r="L5" s="337"/>
    </row>
    <row r="6" spans="1:13" x14ac:dyDescent="0.2">
      <c r="B6" s="82" t="s">
        <v>37</v>
      </c>
      <c r="C6" s="1" t="s">
        <v>1</v>
      </c>
      <c r="D6" s="30" t="s">
        <v>2</v>
      </c>
      <c r="E6" s="108" t="s">
        <v>3</v>
      </c>
      <c r="F6" s="71" t="s">
        <v>35</v>
      </c>
      <c r="G6" s="108" t="s">
        <v>3</v>
      </c>
      <c r="H6" s="79" t="s">
        <v>1</v>
      </c>
      <c r="I6" s="69" t="s">
        <v>2</v>
      </c>
      <c r="J6" s="79" t="s">
        <v>67</v>
      </c>
      <c r="K6" s="1" t="s">
        <v>75</v>
      </c>
      <c r="L6" s="111" t="s">
        <v>76</v>
      </c>
    </row>
    <row r="7" spans="1:13" x14ac:dyDescent="0.2">
      <c r="B7" s="81">
        <v>100</v>
      </c>
      <c r="C7" s="109">
        <v>9</v>
      </c>
      <c r="D7" s="109">
        <v>12.5</v>
      </c>
      <c r="E7" s="110">
        <v>31</v>
      </c>
      <c r="F7" s="115">
        <v>4</v>
      </c>
      <c r="G7" s="110">
        <v>60</v>
      </c>
      <c r="H7" s="112">
        <v>27</v>
      </c>
      <c r="I7" s="113">
        <v>219</v>
      </c>
      <c r="J7" s="112">
        <v>1</v>
      </c>
      <c r="K7" s="111">
        <v>0.05</v>
      </c>
      <c r="L7" s="114">
        <f>0.4531*K7</f>
        <v>2.2655000000000002E-2</v>
      </c>
      <c r="M7" s="84" t="s">
        <v>89</v>
      </c>
    </row>
    <row r="8" spans="1:13" s="116" customFormat="1" x14ac:dyDescent="0.2">
      <c r="B8" s="117">
        <v>200</v>
      </c>
      <c r="C8" s="118">
        <v>12.5</v>
      </c>
      <c r="D8" s="39">
        <v>15.7</v>
      </c>
      <c r="E8" s="119">
        <v>30</v>
      </c>
      <c r="F8" s="120">
        <v>4</v>
      </c>
      <c r="G8" s="119">
        <v>63</v>
      </c>
      <c r="H8" s="121">
        <v>21</v>
      </c>
      <c r="I8" s="70">
        <v>324</v>
      </c>
      <c r="J8" s="121">
        <v>1</v>
      </c>
      <c r="K8" s="23">
        <v>0.05</v>
      </c>
      <c r="L8" s="114">
        <f>0.4531*K8</f>
        <v>2.2655000000000002E-2</v>
      </c>
    </row>
    <row r="9" spans="1:13" x14ac:dyDescent="0.2">
      <c r="B9" s="122">
        <v>265</v>
      </c>
      <c r="C9" s="38">
        <v>16</v>
      </c>
      <c r="D9" s="39">
        <v>20</v>
      </c>
      <c r="E9" s="19">
        <v>41</v>
      </c>
      <c r="F9" s="72">
        <v>5</v>
      </c>
      <c r="G9" s="19">
        <v>63</v>
      </c>
      <c r="H9" s="80">
        <v>50</v>
      </c>
      <c r="I9" s="70">
        <v>406</v>
      </c>
      <c r="J9" s="80">
        <v>1</v>
      </c>
      <c r="K9" s="1">
        <v>0.1</v>
      </c>
      <c r="L9" s="114">
        <f t="shared" ref="L9:L25" si="0">0.4531*K9</f>
        <v>4.5310000000000003E-2</v>
      </c>
    </row>
    <row r="10" spans="1:13" x14ac:dyDescent="0.2">
      <c r="B10" s="117">
        <v>275</v>
      </c>
      <c r="C10" s="38">
        <v>16</v>
      </c>
      <c r="D10" s="39">
        <v>20</v>
      </c>
      <c r="E10" s="19">
        <v>26</v>
      </c>
      <c r="F10" s="68">
        <v>4</v>
      </c>
      <c r="G10" s="19">
        <v>63</v>
      </c>
      <c r="H10" s="80">
        <v>13</v>
      </c>
      <c r="I10" s="70">
        <v>90</v>
      </c>
      <c r="J10" s="80">
        <v>1</v>
      </c>
      <c r="K10" s="1">
        <v>0.05</v>
      </c>
      <c r="L10" s="114">
        <f t="shared" si="0"/>
        <v>2.2655000000000002E-2</v>
      </c>
    </row>
    <row r="11" spans="1:13" x14ac:dyDescent="0.2">
      <c r="B11" s="117">
        <v>300</v>
      </c>
      <c r="C11" s="38">
        <v>18</v>
      </c>
      <c r="D11" s="39">
        <v>22.5</v>
      </c>
      <c r="E11" s="19">
        <v>41</v>
      </c>
      <c r="F11" s="67">
        <v>5</v>
      </c>
      <c r="G11" s="19">
        <v>90</v>
      </c>
      <c r="H11" s="80">
        <v>45</v>
      </c>
      <c r="I11" s="70">
        <v>273</v>
      </c>
      <c r="J11" s="80">
        <v>4</v>
      </c>
      <c r="K11" s="1">
        <v>0.2</v>
      </c>
      <c r="L11" s="114">
        <f t="shared" si="0"/>
        <v>9.0620000000000006E-2</v>
      </c>
    </row>
    <row r="12" spans="1:13" x14ac:dyDescent="0.2">
      <c r="B12" s="117">
        <v>310</v>
      </c>
      <c r="C12" s="38">
        <v>18</v>
      </c>
      <c r="D12" s="39">
        <v>22.5</v>
      </c>
      <c r="E12" s="19">
        <v>57</v>
      </c>
      <c r="F12" s="67">
        <v>5</v>
      </c>
      <c r="G12" s="19">
        <v>90</v>
      </c>
      <c r="H12" s="80">
        <v>60</v>
      </c>
      <c r="I12" s="70">
        <v>406</v>
      </c>
      <c r="J12" s="80">
        <v>4</v>
      </c>
      <c r="K12" s="1">
        <v>0.22</v>
      </c>
      <c r="L12" s="114">
        <f t="shared" si="0"/>
        <v>9.9682000000000007E-2</v>
      </c>
    </row>
    <row r="13" spans="1:13" x14ac:dyDescent="0.2">
      <c r="B13" s="117">
        <v>315</v>
      </c>
      <c r="C13" s="38">
        <v>21.1</v>
      </c>
      <c r="D13" s="39">
        <v>26</v>
      </c>
      <c r="E13" s="19">
        <v>38</v>
      </c>
      <c r="F13" s="67">
        <v>5</v>
      </c>
      <c r="G13" s="19">
        <v>90</v>
      </c>
      <c r="H13" s="80">
        <v>37</v>
      </c>
      <c r="I13" s="70">
        <v>324</v>
      </c>
      <c r="J13" s="80">
        <v>4</v>
      </c>
      <c r="K13" s="1">
        <v>0.25</v>
      </c>
      <c r="L13" s="114">
        <f t="shared" si="0"/>
        <v>0.113275</v>
      </c>
    </row>
    <row r="14" spans="1:13" x14ac:dyDescent="0.2">
      <c r="B14" s="117">
        <v>325</v>
      </c>
      <c r="C14" s="38">
        <v>23.2</v>
      </c>
      <c r="D14" s="39">
        <v>30</v>
      </c>
      <c r="E14" s="19">
        <v>79</v>
      </c>
      <c r="F14" s="68">
        <v>6</v>
      </c>
      <c r="G14" s="19">
        <v>100</v>
      </c>
      <c r="H14" s="80">
        <v>133</v>
      </c>
      <c r="I14" s="70">
        <v>711</v>
      </c>
      <c r="J14" s="80">
        <v>4</v>
      </c>
      <c r="K14" s="1">
        <v>0.6</v>
      </c>
      <c r="L14" s="114">
        <f t="shared" si="0"/>
        <v>0.27185999999999999</v>
      </c>
    </row>
    <row r="15" spans="1:13" x14ac:dyDescent="0.2">
      <c r="B15" s="117">
        <v>340</v>
      </c>
      <c r="C15" s="38">
        <v>25.5</v>
      </c>
      <c r="D15" s="39">
        <v>34</v>
      </c>
      <c r="E15" s="19">
        <v>41</v>
      </c>
      <c r="F15" s="67">
        <v>4</v>
      </c>
      <c r="G15" s="19">
        <v>100</v>
      </c>
      <c r="H15" s="80">
        <v>30</v>
      </c>
      <c r="I15" s="70">
        <v>324</v>
      </c>
      <c r="J15" s="80">
        <v>4</v>
      </c>
      <c r="K15" s="1">
        <v>0.35</v>
      </c>
      <c r="L15" s="114">
        <f t="shared" si="0"/>
        <v>0.158585</v>
      </c>
    </row>
    <row r="16" spans="1:13" x14ac:dyDescent="0.2">
      <c r="B16" s="117">
        <v>360</v>
      </c>
      <c r="C16" s="38">
        <v>32</v>
      </c>
      <c r="D16" s="39">
        <v>42</v>
      </c>
      <c r="E16" s="19">
        <v>55</v>
      </c>
      <c r="F16" s="67">
        <v>5</v>
      </c>
      <c r="G16" s="19">
        <v>100</v>
      </c>
      <c r="H16" s="80">
        <v>40</v>
      </c>
      <c r="I16" s="70">
        <v>406</v>
      </c>
      <c r="J16" s="80">
        <v>4</v>
      </c>
      <c r="K16" s="1">
        <v>0.5</v>
      </c>
      <c r="L16" s="114">
        <f t="shared" si="0"/>
        <v>0.22655</v>
      </c>
    </row>
    <row r="17" spans="1:14" x14ac:dyDescent="0.2">
      <c r="B17" s="117">
        <v>400</v>
      </c>
      <c r="C17" s="38">
        <v>36</v>
      </c>
      <c r="D17" s="39">
        <v>46</v>
      </c>
      <c r="E17" s="19">
        <v>93</v>
      </c>
      <c r="F17" s="68">
        <v>6</v>
      </c>
      <c r="G17" s="19">
        <v>125</v>
      </c>
      <c r="H17" s="80">
        <v>140</v>
      </c>
      <c r="I17" s="70">
        <v>1220</v>
      </c>
      <c r="J17" s="80">
        <v>12</v>
      </c>
      <c r="K17" s="1">
        <v>1.2</v>
      </c>
      <c r="L17" s="114">
        <f t="shared" si="0"/>
        <v>0.54371999999999998</v>
      </c>
    </row>
    <row r="18" spans="1:14" x14ac:dyDescent="0.2">
      <c r="B18" s="117">
        <v>410</v>
      </c>
      <c r="C18" s="38">
        <v>37</v>
      </c>
      <c r="D18" s="39">
        <v>48.5</v>
      </c>
      <c r="E18" s="19">
        <v>68</v>
      </c>
      <c r="F18" s="67">
        <v>5</v>
      </c>
      <c r="G18" s="19">
        <v>125</v>
      </c>
      <c r="H18" s="80">
        <v>60</v>
      </c>
      <c r="I18" s="70">
        <v>324</v>
      </c>
      <c r="J18" s="80">
        <v>12</v>
      </c>
      <c r="K18" s="1">
        <v>0.8</v>
      </c>
      <c r="L18" s="114">
        <f t="shared" si="0"/>
        <v>0.36248000000000002</v>
      </c>
    </row>
    <row r="19" spans="1:14" x14ac:dyDescent="0.2">
      <c r="B19" s="117">
        <v>425</v>
      </c>
      <c r="C19" s="38">
        <v>28</v>
      </c>
      <c r="D19" s="39">
        <v>37</v>
      </c>
      <c r="E19" s="19">
        <v>93</v>
      </c>
      <c r="F19" s="67">
        <v>6</v>
      </c>
      <c r="G19" s="19">
        <v>125</v>
      </c>
      <c r="H19" s="80">
        <v>144</v>
      </c>
      <c r="I19" s="70">
        <v>1220</v>
      </c>
      <c r="J19" s="80">
        <v>12</v>
      </c>
      <c r="K19" s="1">
        <v>0.69</v>
      </c>
      <c r="L19" s="114">
        <f t="shared" si="0"/>
        <v>0.312639</v>
      </c>
    </row>
    <row r="20" spans="1:14" x14ac:dyDescent="0.2">
      <c r="B20" s="117">
        <v>440</v>
      </c>
      <c r="C20" s="38">
        <v>44</v>
      </c>
      <c r="D20" s="39">
        <v>55</v>
      </c>
      <c r="E20" s="19">
        <v>99</v>
      </c>
      <c r="F20" s="67">
        <v>6</v>
      </c>
      <c r="G20" s="19">
        <v>125</v>
      </c>
      <c r="H20" s="80">
        <v>140</v>
      </c>
      <c r="I20" s="70">
        <v>1220</v>
      </c>
      <c r="J20" s="80">
        <v>12</v>
      </c>
      <c r="K20" s="1">
        <v>1</v>
      </c>
      <c r="L20" s="114">
        <f t="shared" si="0"/>
        <v>0.4531</v>
      </c>
    </row>
    <row r="21" spans="1:14" x14ac:dyDescent="0.2">
      <c r="B21" s="117">
        <v>475</v>
      </c>
      <c r="C21" s="38">
        <v>41</v>
      </c>
      <c r="D21" s="39">
        <v>48.5</v>
      </c>
      <c r="E21" s="19">
        <v>69</v>
      </c>
      <c r="F21" s="67">
        <v>5</v>
      </c>
      <c r="G21" s="19">
        <v>125</v>
      </c>
      <c r="H21" s="80">
        <v>60</v>
      </c>
      <c r="I21" s="70">
        <v>1220</v>
      </c>
      <c r="J21" s="80">
        <v>12</v>
      </c>
      <c r="K21" s="1">
        <v>0.9</v>
      </c>
      <c r="L21" s="114">
        <f t="shared" si="0"/>
        <v>0.40778999999999999</v>
      </c>
    </row>
    <row r="22" spans="1:14" x14ac:dyDescent="0.2">
      <c r="B22" s="117">
        <v>500</v>
      </c>
      <c r="C22" s="38">
        <v>60</v>
      </c>
      <c r="D22" s="39">
        <v>71.5</v>
      </c>
      <c r="E22" s="19">
        <v>100</v>
      </c>
      <c r="F22" s="68">
        <v>5</v>
      </c>
      <c r="G22" s="19">
        <v>140</v>
      </c>
      <c r="H22" s="80">
        <v>100</v>
      </c>
      <c r="I22" s="70">
        <v>1220</v>
      </c>
      <c r="J22" s="80">
        <v>22</v>
      </c>
      <c r="K22" s="1">
        <v>2.2999999999999998</v>
      </c>
      <c r="L22" s="114">
        <f t="shared" si="0"/>
        <v>1.04213</v>
      </c>
    </row>
    <row r="23" spans="1:14" x14ac:dyDescent="0.2">
      <c r="B23" s="117">
        <v>525</v>
      </c>
      <c r="C23" s="38">
        <v>55</v>
      </c>
      <c r="D23" s="39">
        <v>63.5</v>
      </c>
      <c r="E23" s="19">
        <v>100</v>
      </c>
      <c r="F23" s="67">
        <v>6</v>
      </c>
      <c r="G23" s="19">
        <v>133</v>
      </c>
      <c r="H23" s="80">
        <v>133</v>
      </c>
      <c r="I23" s="70">
        <v>1220</v>
      </c>
      <c r="J23" s="80">
        <v>22</v>
      </c>
      <c r="K23" s="1">
        <v>2.15</v>
      </c>
      <c r="L23" s="114">
        <f t="shared" si="0"/>
        <v>0.97416499999999995</v>
      </c>
    </row>
    <row r="24" spans="1:14" x14ac:dyDescent="0.2">
      <c r="B24" s="117">
        <v>575</v>
      </c>
      <c r="C24" s="38">
        <v>48</v>
      </c>
      <c r="D24" s="39">
        <v>58</v>
      </c>
      <c r="E24" s="19">
        <v>79</v>
      </c>
      <c r="F24" s="67">
        <v>5</v>
      </c>
      <c r="G24" s="19">
        <v>140</v>
      </c>
      <c r="H24" s="80">
        <v>89</v>
      </c>
      <c r="I24" s="70">
        <v>1220</v>
      </c>
      <c r="J24" s="80">
        <v>22</v>
      </c>
      <c r="K24" s="1">
        <v>1.55</v>
      </c>
      <c r="L24" s="114">
        <f t="shared" si="0"/>
        <v>0.70230500000000007</v>
      </c>
    </row>
    <row r="25" spans="1:14" x14ac:dyDescent="0.2">
      <c r="B25" s="81">
        <v>615</v>
      </c>
      <c r="C25" s="38">
        <v>81</v>
      </c>
      <c r="D25" s="39">
        <v>98</v>
      </c>
      <c r="E25" s="19">
        <v>156</v>
      </c>
      <c r="F25" s="67">
        <v>6</v>
      </c>
      <c r="G25" s="19">
        <v>165</v>
      </c>
      <c r="H25" s="80">
        <v>219</v>
      </c>
      <c r="I25" s="70">
        <v>3000</v>
      </c>
      <c r="J25" s="80">
        <v>48</v>
      </c>
      <c r="K25" s="1">
        <v>6.25</v>
      </c>
      <c r="L25" s="114">
        <f t="shared" si="0"/>
        <v>2.8318750000000001</v>
      </c>
    </row>
    <row r="26" spans="1:14" x14ac:dyDescent="0.2">
      <c r="B26" s="117">
        <v>625</v>
      </c>
      <c r="C26" s="38">
        <v>81</v>
      </c>
      <c r="D26" s="39">
        <v>98</v>
      </c>
      <c r="E26" s="19">
        <v>107</v>
      </c>
      <c r="F26" s="68">
        <v>5</v>
      </c>
      <c r="G26" s="19">
        <v>165</v>
      </c>
      <c r="H26" s="80">
        <v>89</v>
      </c>
      <c r="I26" s="70">
        <v>2000</v>
      </c>
      <c r="J26" s="80">
        <v>48</v>
      </c>
      <c r="K26" s="1">
        <v>3.25</v>
      </c>
      <c r="L26" s="114">
        <v>1.5</v>
      </c>
    </row>
    <row r="27" spans="1:14" x14ac:dyDescent="0.2">
      <c r="B27" s="117">
        <v>650</v>
      </c>
      <c r="C27" s="38">
        <v>69</v>
      </c>
      <c r="D27" s="39">
        <v>84</v>
      </c>
      <c r="E27" s="19">
        <v>107</v>
      </c>
      <c r="F27" s="67">
        <v>5</v>
      </c>
      <c r="G27" s="19">
        <v>165</v>
      </c>
      <c r="H27" s="80">
        <v>89</v>
      </c>
      <c r="I27" s="70">
        <v>2000</v>
      </c>
      <c r="J27" s="80">
        <v>48</v>
      </c>
      <c r="K27" s="1">
        <v>2.5</v>
      </c>
      <c r="L27" s="114">
        <v>1.18</v>
      </c>
    </row>
    <row r="28" spans="1:14" x14ac:dyDescent="0.2">
      <c r="B28" s="117">
        <v>700</v>
      </c>
      <c r="C28" s="38">
        <v>95</v>
      </c>
      <c r="D28" s="39">
        <v>110</v>
      </c>
      <c r="E28" s="19">
        <v>156</v>
      </c>
      <c r="F28" s="67">
        <v>6</v>
      </c>
      <c r="G28" s="19">
        <v>165</v>
      </c>
      <c r="H28" s="80">
        <v>219</v>
      </c>
      <c r="I28" s="70">
        <v>3000</v>
      </c>
      <c r="J28" s="80">
        <v>48</v>
      </c>
      <c r="K28" s="1">
        <v>5.25</v>
      </c>
      <c r="L28" s="114">
        <v>2.5499999999999998</v>
      </c>
    </row>
    <row r="30" spans="1:14" s="124" customFormat="1" ht="36" x14ac:dyDescent="0.2">
      <c r="A30" s="123" t="s">
        <v>36</v>
      </c>
      <c r="C30" s="333" t="s">
        <v>84</v>
      </c>
      <c r="D30" s="334"/>
      <c r="E30" s="137" t="s">
        <v>79</v>
      </c>
      <c r="G30" s="137" t="s">
        <v>85</v>
      </c>
      <c r="H30" s="328" t="s">
        <v>86</v>
      </c>
      <c r="I30" s="329"/>
      <c r="K30" s="338" t="s">
        <v>66</v>
      </c>
      <c r="L30" s="338"/>
      <c r="M30" s="338"/>
      <c r="N30" s="338"/>
    </row>
    <row r="31" spans="1:14" ht="25.5" x14ac:dyDescent="0.2">
      <c r="B31" s="95" t="s">
        <v>37</v>
      </c>
      <c r="C31" s="1" t="s">
        <v>1</v>
      </c>
      <c r="D31" s="30" t="s">
        <v>2</v>
      </c>
      <c r="E31" s="108" t="s">
        <v>3</v>
      </c>
      <c r="F31" s="71" t="s">
        <v>35</v>
      </c>
      <c r="G31" s="108" t="s">
        <v>3</v>
      </c>
      <c r="H31" s="77" t="s">
        <v>1</v>
      </c>
      <c r="I31" s="69" t="s">
        <v>2</v>
      </c>
      <c r="K31" s="87" t="s">
        <v>50</v>
      </c>
      <c r="L31" s="88" t="s">
        <v>45</v>
      </c>
      <c r="M31" s="87" t="s">
        <v>49</v>
      </c>
      <c r="N31" s="89" t="s">
        <v>48</v>
      </c>
    </row>
    <row r="32" spans="1:14" x14ac:dyDescent="0.2">
      <c r="B32" s="126">
        <v>275</v>
      </c>
      <c r="C32" s="38">
        <v>16</v>
      </c>
      <c r="D32" s="39">
        <v>20</v>
      </c>
      <c r="E32" s="19">
        <v>26</v>
      </c>
      <c r="F32" s="68">
        <v>4</v>
      </c>
      <c r="G32" s="19">
        <v>63</v>
      </c>
      <c r="H32" s="78">
        <v>13</v>
      </c>
      <c r="I32" s="70">
        <v>90</v>
      </c>
      <c r="K32" s="90">
        <f t="shared" ref="K32:K53" si="1">IF(AND(H32&lt;=$L$112,I32&gt;=$L$112),1,0)</f>
        <v>0</v>
      </c>
      <c r="L32" s="91">
        <f t="shared" ref="L32:L53" si="2">D32*K32</f>
        <v>0</v>
      </c>
      <c r="M32" s="90">
        <f t="shared" ref="M32:M53" si="3">IF(AND(H32&lt;=$L$112,I32&gt;=$L$112),1,100)</f>
        <v>100</v>
      </c>
      <c r="N32" s="91">
        <f t="shared" ref="N32:N53" si="4">C32*M32</f>
        <v>1600</v>
      </c>
    </row>
    <row r="33" spans="2:14" x14ac:dyDescent="0.2">
      <c r="B33" s="126">
        <v>200</v>
      </c>
      <c r="C33" s="118">
        <v>12.5</v>
      </c>
      <c r="D33" s="39">
        <v>15.7</v>
      </c>
      <c r="E33" s="119">
        <v>30</v>
      </c>
      <c r="F33" s="120">
        <v>4</v>
      </c>
      <c r="G33" s="119">
        <v>63</v>
      </c>
      <c r="H33" s="127">
        <v>21</v>
      </c>
      <c r="I33" s="70">
        <v>324</v>
      </c>
      <c r="K33" s="90">
        <f t="shared" si="1"/>
        <v>1</v>
      </c>
      <c r="L33" s="91">
        <f t="shared" si="2"/>
        <v>15.7</v>
      </c>
      <c r="M33" s="90">
        <f t="shared" si="3"/>
        <v>1</v>
      </c>
      <c r="N33" s="91">
        <f t="shared" si="4"/>
        <v>12.5</v>
      </c>
    </row>
    <row r="34" spans="2:14" x14ac:dyDescent="0.2">
      <c r="B34" s="96">
        <v>100</v>
      </c>
      <c r="C34" s="109">
        <v>9</v>
      </c>
      <c r="D34" s="109">
        <v>12.5</v>
      </c>
      <c r="E34" s="110">
        <v>31</v>
      </c>
      <c r="F34" s="125">
        <v>4</v>
      </c>
      <c r="G34" s="110">
        <v>60</v>
      </c>
      <c r="H34" s="128">
        <v>27</v>
      </c>
      <c r="I34" s="113">
        <v>219</v>
      </c>
      <c r="K34" s="90">
        <f t="shared" si="1"/>
        <v>1</v>
      </c>
      <c r="L34" s="91">
        <f t="shared" si="2"/>
        <v>12.5</v>
      </c>
      <c r="M34" s="90">
        <f t="shared" si="3"/>
        <v>1</v>
      </c>
      <c r="N34" s="91">
        <f t="shared" si="4"/>
        <v>9</v>
      </c>
    </row>
    <row r="35" spans="2:14" x14ac:dyDescent="0.2">
      <c r="B35" s="126">
        <v>340</v>
      </c>
      <c r="C35" s="38">
        <v>25.5</v>
      </c>
      <c r="D35" s="39">
        <v>34</v>
      </c>
      <c r="E35" s="19">
        <v>41</v>
      </c>
      <c r="F35" s="67">
        <v>4</v>
      </c>
      <c r="G35" s="19">
        <v>100</v>
      </c>
      <c r="H35" s="78">
        <v>30</v>
      </c>
      <c r="I35" s="70">
        <v>324</v>
      </c>
      <c r="K35" s="90">
        <f t="shared" si="1"/>
        <v>1</v>
      </c>
      <c r="L35" s="91">
        <f t="shared" si="2"/>
        <v>34</v>
      </c>
      <c r="M35" s="90">
        <f t="shared" si="3"/>
        <v>1</v>
      </c>
      <c r="N35" s="91">
        <f t="shared" si="4"/>
        <v>25.5</v>
      </c>
    </row>
    <row r="36" spans="2:14" x14ac:dyDescent="0.2">
      <c r="B36" s="126">
        <v>315</v>
      </c>
      <c r="C36" s="38">
        <v>21.1</v>
      </c>
      <c r="D36" s="39">
        <v>26</v>
      </c>
      <c r="E36" s="19">
        <v>38</v>
      </c>
      <c r="F36" s="67">
        <v>5</v>
      </c>
      <c r="G36" s="19">
        <v>90</v>
      </c>
      <c r="H36" s="78">
        <v>37</v>
      </c>
      <c r="I36" s="70">
        <v>324</v>
      </c>
      <c r="K36" s="90">
        <f t="shared" si="1"/>
        <v>1</v>
      </c>
      <c r="L36" s="91">
        <f t="shared" si="2"/>
        <v>26</v>
      </c>
      <c r="M36" s="90">
        <f t="shared" si="3"/>
        <v>1</v>
      </c>
      <c r="N36" s="91">
        <f t="shared" si="4"/>
        <v>21.1</v>
      </c>
    </row>
    <row r="37" spans="2:14" x14ac:dyDescent="0.2">
      <c r="B37" s="126">
        <v>360</v>
      </c>
      <c r="C37" s="38">
        <v>32</v>
      </c>
      <c r="D37" s="39">
        <v>42</v>
      </c>
      <c r="E37" s="19">
        <v>55</v>
      </c>
      <c r="F37" s="67">
        <v>5</v>
      </c>
      <c r="G37" s="19">
        <v>100</v>
      </c>
      <c r="H37" s="78">
        <v>40</v>
      </c>
      <c r="I37" s="70">
        <v>406</v>
      </c>
      <c r="K37" s="90">
        <f t="shared" si="1"/>
        <v>1</v>
      </c>
      <c r="L37" s="91">
        <f t="shared" si="2"/>
        <v>42</v>
      </c>
      <c r="M37" s="90">
        <f t="shared" si="3"/>
        <v>1</v>
      </c>
      <c r="N37" s="91">
        <f t="shared" si="4"/>
        <v>32</v>
      </c>
    </row>
    <row r="38" spans="2:14" x14ac:dyDescent="0.2">
      <c r="B38" s="126">
        <v>300</v>
      </c>
      <c r="C38" s="38">
        <v>18</v>
      </c>
      <c r="D38" s="39">
        <v>22.5</v>
      </c>
      <c r="E38" s="19">
        <v>41</v>
      </c>
      <c r="F38" s="67">
        <v>5</v>
      </c>
      <c r="G38" s="19">
        <v>90</v>
      </c>
      <c r="H38" s="78">
        <v>45</v>
      </c>
      <c r="I38" s="70">
        <v>273</v>
      </c>
      <c r="K38" s="90">
        <f t="shared" si="1"/>
        <v>1</v>
      </c>
      <c r="L38" s="91">
        <f t="shared" si="2"/>
        <v>22.5</v>
      </c>
      <c r="M38" s="90">
        <f t="shared" si="3"/>
        <v>1</v>
      </c>
      <c r="N38" s="91">
        <f t="shared" si="4"/>
        <v>18</v>
      </c>
    </row>
    <row r="39" spans="2:14" x14ac:dyDescent="0.2">
      <c r="B39" s="126">
        <v>265</v>
      </c>
      <c r="C39" s="38">
        <v>16</v>
      </c>
      <c r="D39" s="39">
        <v>20</v>
      </c>
      <c r="E39" s="19">
        <v>41</v>
      </c>
      <c r="F39" s="67">
        <v>5</v>
      </c>
      <c r="G39" s="19">
        <v>63</v>
      </c>
      <c r="H39" s="78">
        <v>50</v>
      </c>
      <c r="I39" s="70">
        <v>406</v>
      </c>
      <c r="K39" s="90">
        <f t="shared" si="1"/>
        <v>1</v>
      </c>
      <c r="L39" s="91">
        <f t="shared" si="2"/>
        <v>20</v>
      </c>
      <c r="M39" s="90">
        <f t="shared" si="3"/>
        <v>1</v>
      </c>
      <c r="N39" s="91">
        <f t="shared" si="4"/>
        <v>16</v>
      </c>
    </row>
    <row r="40" spans="2:14" x14ac:dyDescent="0.2">
      <c r="B40" s="126">
        <v>310</v>
      </c>
      <c r="C40" s="38">
        <v>18</v>
      </c>
      <c r="D40" s="39">
        <v>22.5</v>
      </c>
      <c r="E40" s="19">
        <v>57</v>
      </c>
      <c r="F40" s="67">
        <v>5</v>
      </c>
      <c r="G40" s="19">
        <v>90</v>
      </c>
      <c r="H40" s="78">
        <v>60</v>
      </c>
      <c r="I40" s="70">
        <v>406</v>
      </c>
      <c r="K40" s="90">
        <f t="shared" si="1"/>
        <v>1</v>
      </c>
      <c r="L40" s="91">
        <f t="shared" si="2"/>
        <v>22.5</v>
      </c>
      <c r="M40" s="90">
        <f t="shared" si="3"/>
        <v>1</v>
      </c>
      <c r="N40" s="91">
        <f t="shared" si="4"/>
        <v>18</v>
      </c>
    </row>
    <row r="41" spans="2:14" x14ac:dyDescent="0.2">
      <c r="B41" s="126">
        <v>410</v>
      </c>
      <c r="C41" s="38">
        <v>37</v>
      </c>
      <c r="D41" s="39">
        <v>48.5</v>
      </c>
      <c r="E41" s="19">
        <v>68</v>
      </c>
      <c r="F41" s="67">
        <v>5</v>
      </c>
      <c r="G41" s="19">
        <v>125</v>
      </c>
      <c r="H41" s="78">
        <v>60</v>
      </c>
      <c r="I41" s="70">
        <v>324</v>
      </c>
      <c r="K41" s="90">
        <f t="shared" si="1"/>
        <v>1</v>
      </c>
      <c r="L41" s="91">
        <f t="shared" si="2"/>
        <v>48.5</v>
      </c>
      <c r="M41" s="90">
        <f t="shared" si="3"/>
        <v>1</v>
      </c>
      <c r="N41" s="91">
        <f t="shared" si="4"/>
        <v>37</v>
      </c>
    </row>
    <row r="42" spans="2:14" x14ac:dyDescent="0.2">
      <c r="B42" s="126">
        <v>475</v>
      </c>
      <c r="C42" s="38">
        <v>41</v>
      </c>
      <c r="D42" s="39">
        <v>48.5</v>
      </c>
      <c r="E42" s="19">
        <v>69</v>
      </c>
      <c r="F42" s="67">
        <v>5</v>
      </c>
      <c r="G42" s="19">
        <v>125</v>
      </c>
      <c r="H42" s="78">
        <v>60</v>
      </c>
      <c r="I42" s="70">
        <v>1220</v>
      </c>
      <c r="K42" s="90">
        <f t="shared" si="1"/>
        <v>1</v>
      </c>
      <c r="L42" s="91">
        <f t="shared" si="2"/>
        <v>48.5</v>
      </c>
      <c r="M42" s="90">
        <f t="shared" si="3"/>
        <v>1</v>
      </c>
      <c r="N42" s="91">
        <f t="shared" si="4"/>
        <v>41</v>
      </c>
    </row>
    <row r="43" spans="2:14" x14ac:dyDescent="0.2">
      <c r="B43" s="126">
        <v>575</v>
      </c>
      <c r="C43" s="38">
        <v>48</v>
      </c>
      <c r="D43" s="39">
        <v>58</v>
      </c>
      <c r="E43" s="19">
        <v>79</v>
      </c>
      <c r="F43" s="67">
        <v>5</v>
      </c>
      <c r="G43" s="19">
        <v>140</v>
      </c>
      <c r="H43" s="78">
        <v>89</v>
      </c>
      <c r="I43" s="70">
        <v>1220</v>
      </c>
      <c r="K43" s="90">
        <f t="shared" si="1"/>
        <v>1</v>
      </c>
      <c r="L43" s="91">
        <f t="shared" si="2"/>
        <v>58</v>
      </c>
      <c r="M43" s="90">
        <f t="shared" si="3"/>
        <v>1</v>
      </c>
      <c r="N43" s="91">
        <f t="shared" si="4"/>
        <v>48</v>
      </c>
    </row>
    <row r="44" spans="2:14" x14ac:dyDescent="0.2">
      <c r="B44" s="126">
        <v>625</v>
      </c>
      <c r="C44" s="38">
        <v>81</v>
      </c>
      <c r="D44" s="39">
        <v>98</v>
      </c>
      <c r="E44" s="19">
        <v>107</v>
      </c>
      <c r="F44" s="68">
        <v>5</v>
      </c>
      <c r="G44" s="19">
        <v>165</v>
      </c>
      <c r="H44" s="78">
        <v>89</v>
      </c>
      <c r="I44" s="70">
        <v>2000</v>
      </c>
      <c r="K44" s="90">
        <f t="shared" si="1"/>
        <v>1</v>
      </c>
      <c r="L44" s="91">
        <f t="shared" si="2"/>
        <v>98</v>
      </c>
      <c r="M44" s="90">
        <f t="shared" si="3"/>
        <v>1</v>
      </c>
      <c r="N44" s="91">
        <f t="shared" si="4"/>
        <v>81</v>
      </c>
    </row>
    <row r="45" spans="2:14" x14ac:dyDescent="0.2">
      <c r="B45" s="126">
        <v>650</v>
      </c>
      <c r="C45" s="38">
        <v>69</v>
      </c>
      <c r="D45" s="39">
        <v>84</v>
      </c>
      <c r="E45" s="19">
        <v>107</v>
      </c>
      <c r="F45" s="67">
        <v>5</v>
      </c>
      <c r="G45" s="19">
        <v>165</v>
      </c>
      <c r="H45" s="78">
        <v>89</v>
      </c>
      <c r="I45" s="70">
        <v>2000</v>
      </c>
      <c r="K45" s="90">
        <f t="shared" si="1"/>
        <v>1</v>
      </c>
      <c r="L45" s="91">
        <f t="shared" si="2"/>
        <v>84</v>
      </c>
      <c r="M45" s="90">
        <f t="shared" si="3"/>
        <v>1</v>
      </c>
      <c r="N45" s="91">
        <f t="shared" si="4"/>
        <v>69</v>
      </c>
    </row>
    <row r="46" spans="2:14" x14ac:dyDescent="0.2">
      <c r="B46" s="126">
        <v>500</v>
      </c>
      <c r="C46" s="38">
        <v>60</v>
      </c>
      <c r="D46" s="39">
        <v>71.5</v>
      </c>
      <c r="E46" s="19">
        <v>100</v>
      </c>
      <c r="F46" s="68">
        <v>5</v>
      </c>
      <c r="G46" s="19">
        <v>140</v>
      </c>
      <c r="H46" s="78">
        <v>100</v>
      </c>
      <c r="I46" s="70">
        <v>1220</v>
      </c>
      <c r="K46" s="90">
        <f t="shared" si="1"/>
        <v>1</v>
      </c>
      <c r="L46" s="91">
        <f t="shared" si="2"/>
        <v>71.5</v>
      </c>
      <c r="M46" s="90">
        <f t="shared" si="3"/>
        <v>1</v>
      </c>
      <c r="N46" s="91">
        <f t="shared" si="4"/>
        <v>60</v>
      </c>
    </row>
    <row r="47" spans="2:14" x14ac:dyDescent="0.2">
      <c r="B47" s="126">
        <v>325</v>
      </c>
      <c r="C47" s="38">
        <v>23.2</v>
      </c>
      <c r="D47" s="39">
        <v>30</v>
      </c>
      <c r="E47" s="19">
        <v>79</v>
      </c>
      <c r="F47" s="68">
        <v>6</v>
      </c>
      <c r="G47" s="19">
        <v>100</v>
      </c>
      <c r="H47" s="78">
        <v>133</v>
      </c>
      <c r="I47" s="70">
        <v>711</v>
      </c>
      <c r="K47" s="90">
        <f t="shared" si="1"/>
        <v>1</v>
      </c>
      <c r="L47" s="91">
        <f t="shared" si="2"/>
        <v>30</v>
      </c>
      <c r="M47" s="90">
        <f t="shared" si="3"/>
        <v>1</v>
      </c>
      <c r="N47" s="91">
        <f t="shared" si="4"/>
        <v>23.2</v>
      </c>
    </row>
    <row r="48" spans="2:14" x14ac:dyDescent="0.2">
      <c r="B48" s="126">
        <v>525</v>
      </c>
      <c r="C48" s="38">
        <v>55</v>
      </c>
      <c r="D48" s="39">
        <v>63.5</v>
      </c>
      <c r="E48" s="19">
        <v>100</v>
      </c>
      <c r="F48" s="67">
        <v>6</v>
      </c>
      <c r="G48" s="19">
        <v>133</v>
      </c>
      <c r="H48" s="78">
        <v>133</v>
      </c>
      <c r="I48" s="70">
        <v>1220</v>
      </c>
      <c r="K48" s="90">
        <f t="shared" si="1"/>
        <v>1</v>
      </c>
      <c r="L48" s="91">
        <f t="shared" si="2"/>
        <v>63.5</v>
      </c>
      <c r="M48" s="90">
        <f t="shared" si="3"/>
        <v>1</v>
      </c>
      <c r="N48" s="91">
        <f t="shared" si="4"/>
        <v>55</v>
      </c>
    </row>
    <row r="49" spans="1:14" x14ac:dyDescent="0.2">
      <c r="B49" s="126">
        <v>400</v>
      </c>
      <c r="C49" s="38">
        <v>36</v>
      </c>
      <c r="D49" s="39">
        <v>46</v>
      </c>
      <c r="E49" s="19">
        <v>93</v>
      </c>
      <c r="F49" s="68">
        <v>6</v>
      </c>
      <c r="G49" s="19">
        <v>125</v>
      </c>
      <c r="H49" s="78">
        <v>140</v>
      </c>
      <c r="I49" s="70">
        <v>1220</v>
      </c>
      <c r="K49" s="90">
        <f t="shared" si="1"/>
        <v>1</v>
      </c>
      <c r="L49" s="91">
        <f t="shared" si="2"/>
        <v>46</v>
      </c>
      <c r="M49" s="90">
        <f t="shared" si="3"/>
        <v>1</v>
      </c>
      <c r="N49" s="91">
        <f t="shared" si="4"/>
        <v>36</v>
      </c>
    </row>
    <row r="50" spans="1:14" x14ac:dyDescent="0.2">
      <c r="B50" s="126">
        <v>440</v>
      </c>
      <c r="C50" s="38">
        <v>44</v>
      </c>
      <c r="D50" s="39">
        <v>55</v>
      </c>
      <c r="E50" s="19">
        <v>99</v>
      </c>
      <c r="F50" s="67">
        <v>6</v>
      </c>
      <c r="G50" s="19">
        <v>125</v>
      </c>
      <c r="H50" s="78">
        <v>140</v>
      </c>
      <c r="I50" s="70">
        <v>1220</v>
      </c>
      <c r="K50" s="90">
        <f t="shared" si="1"/>
        <v>1</v>
      </c>
      <c r="L50" s="91">
        <f t="shared" si="2"/>
        <v>55</v>
      </c>
      <c r="M50" s="90">
        <f t="shared" si="3"/>
        <v>1</v>
      </c>
      <c r="N50" s="91">
        <f t="shared" si="4"/>
        <v>44</v>
      </c>
    </row>
    <row r="51" spans="1:14" x14ac:dyDescent="0.2">
      <c r="B51" s="126">
        <v>425</v>
      </c>
      <c r="C51" s="38">
        <v>28</v>
      </c>
      <c r="D51" s="39">
        <v>37</v>
      </c>
      <c r="E51" s="19">
        <v>93</v>
      </c>
      <c r="F51" s="67">
        <v>6</v>
      </c>
      <c r="G51" s="19">
        <v>125</v>
      </c>
      <c r="H51" s="78">
        <v>144</v>
      </c>
      <c r="I51" s="70">
        <v>1220</v>
      </c>
      <c r="K51" s="90">
        <f t="shared" si="1"/>
        <v>1</v>
      </c>
      <c r="L51" s="91">
        <f t="shared" si="2"/>
        <v>37</v>
      </c>
      <c r="M51" s="90">
        <f t="shared" si="3"/>
        <v>1</v>
      </c>
      <c r="N51" s="91">
        <f t="shared" si="4"/>
        <v>28</v>
      </c>
    </row>
    <row r="52" spans="1:14" x14ac:dyDescent="0.2">
      <c r="B52" s="97">
        <v>615</v>
      </c>
      <c r="C52" s="38">
        <v>81</v>
      </c>
      <c r="D52" s="39">
        <v>98</v>
      </c>
      <c r="E52" s="19">
        <v>156</v>
      </c>
      <c r="F52" s="67">
        <v>6</v>
      </c>
      <c r="G52" s="19">
        <v>165</v>
      </c>
      <c r="H52" s="78">
        <v>219</v>
      </c>
      <c r="I52" s="70">
        <v>3000</v>
      </c>
      <c r="K52" s="90">
        <f t="shared" si="1"/>
        <v>0</v>
      </c>
      <c r="L52" s="91">
        <f t="shared" si="2"/>
        <v>0</v>
      </c>
      <c r="M52" s="90">
        <f t="shared" si="3"/>
        <v>100</v>
      </c>
      <c r="N52" s="91">
        <f t="shared" si="4"/>
        <v>8100</v>
      </c>
    </row>
    <row r="53" spans="1:14" x14ac:dyDescent="0.2">
      <c r="B53" s="126">
        <v>700</v>
      </c>
      <c r="C53" s="38">
        <v>95</v>
      </c>
      <c r="D53" s="39">
        <v>110</v>
      </c>
      <c r="E53" s="19">
        <v>156</v>
      </c>
      <c r="F53" s="67">
        <v>6</v>
      </c>
      <c r="G53" s="19">
        <v>165</v>
      </c>
      <c r="H53" s="78">
        <v>219</v>
      </c>
      <c r="I53" s="70">
        <v>3000</v>
      </c>
      <c r="K53" s="90">
        <f t="shared" si="1"/>
        <v>0</v>
      </c>
      <c r="L53" s="91">
        <f t="shared" si="2"/>
        <v>0</v>
      </c>
      <c r="M53" s="90">
        <f t="shared" si="3"/>
        <v>100</v>
      </c>
      <c r="N53" s="91">
        <f t="shared" si="4"/>
        <v>9500</v>
      </c>
    </row>
    <row r="56" spans="1:14" s="124" customFormat="1" ht="36" x14ac:dyDescent="0.2">
      <c r="A56" s="123" t="s">
        <v>65</v>
      </c>
      <c r="C56" s="333" t="s">
        <v>84</v>
      </c>
      <c r="D56" s="334"/>
      <c r="E56" s="137" t="s">
        <v>79</v>
      </c>
      <c r="G56" s="137" t="s">
        <v>85</v>
      </c>
      <c r="H56" s="328" t="s">
        <v>86</v>
      </c>
      <c r="I56" s="329"/>
    </row>
    <row r="57" spans="1:14" x14ac:dyDescent="0.2">
      <c r="B57" s="95" t="s">
        <v>37</v>
      </c>
      <c r="C57" s="1" t="s">
        <v>1</v>
      </c>
      <c r="D57" s="30" t="s">
        <v>2</v>
      </c>
      <c r="E57" s="108" t="s">
        <v>3</v>
      </c>
      <c r="F57" s="71" t="s">
        <v>35</v>
      </c>
      <c r="G57" s="108" t="s">
        <v>3</v>
      </c>
      <c r="H57" s="79" t="s">
        <v>1</v>
      </c>
      <c r="I57" s="98" t="s">
        <v>2</v>
      </c>
    </row>
    <row r="58" spans="1:14" x14ac:dyDescent="0.2">
      <c r="B58" s="126">
        <v>275</v>
      </c>
      <c r="C58" s="38">
        <v>16</v>
      </c>
      <c r="D58" s="39">
        <v>20</v>
      </c>
      <c r="E58" s="19">
        <v>26</v>
      </c>
      <c r="F58" s="68">
        <v>4</v>
      </c>
      <c r="G58" s="19">
        <v>63</v>
      </c>
      <c r="H58" s="80">
        <v>13</v>
      </c>
      <c r="I58" s="99">
        <v>90</v>
      </c>
    </row>
    <row r="59" spans="1:14" x14ac:dyDescent="0.2">
      <c r="B59" s="97">
        <v>100</v>
      </c>
      <c r="C59" s="109">
        <v>9</v>
      </c>
      <c r="D59" s="109">
        <v>12.5</v>
      </c>
      <c r="E59" s="110">
        <v>31</v>
      </c>
      <c r="F59" s="115">
        <v>4</v>
      </c>
      <c r="G59" s="110">
        <v>60</v>
      </c>
      <c r="H59" s="112">
        <v>27</v>
      </c>
      <c r="I59" s="130">
        <v>219</v>
      </c>
    </row>
    <row r="60" spans="1:14" x14ac:dyDescent="0.2">
      <c r="B60" s="129">
        <v>300</v>
      </c>
      <c r="C60" s="38">
        <v>18</v>
      </c>
      <c r="D60" s="39">
        <v>22.5</v>
      </c>
      <c r="E60" s="19">
        <v>41</v>
      </c>
      <c r="F60" s="72">
        <v>5</v>
      </c>
      <c r="G60" s="19">
        <v>90</v>
      </c>
      <c r="H60" s="80">
        <v>45</v>
      </c>
      <c r="I60" s="99">
        <v>273</v>
      </c>
    </row>
    <row r="61" spans="1:14" x14ac:dyDescent="0.2">
      <c r="B61" s="126">
        <v>200</v>
      </c>
      <c r="C61" s="118">
        <v>12.5</v>
      </c>
      <c r="D61" s="39">
        <v>15.7</v>
      </c>
      <c r="E61" s="119">
        <v>30</v>
      </c>
      <c r="F61" s="120">
        <v>4</v>
      </c>
      <c r="G61" s="119">
        <v>63</v>
      </c>
      <c r="H61" s="121">
        <v>21</v>
      </c>
      <c r="I61" s="99">
        <v>324</v>
      </c>
    </row>
    <row r="62" spans="1:14" x14ac:dyDescent="0.2">
      <c r="B62" s="126">
        <v>340</v>
      </c>
      <c r="C62" s="38">
        <v>25.5</v>
      </c>
      <c r="D62" s="39">
        <v>34</v>
      </c>
      <c r="E62" s="19">
        <v>41</v>
      </c>
      <c r="F62" s="67">
        <v>4</v>
      </c>
      <c r="G62" s="19">
        <v>100</v>
      </c>
      <c r="H62" s="80">
        <v>30</v>
      </c>
      <c r="I62" s="99">
        <v>324</v>
      </c>
    </row>
    <row r="63" spans="1:14" x14ac:dyDescent="0.2">
      <c r="B63" s="126">
        <v>315</v>
      </c>
      <c r="C63" s="38">
        <v>21.1</v>
      </c>
      <c r="D63" s="39">
        <v>26</v>
      </c>
      <c r="E63" s="19">
        <v>38</v>
      </c>
      <c r="F63" s="67">
        <v>5</v>
      </c>
      <c r="G63" s="19">
        <v>90</v>
      </c>
      <c r="H63" s="80">
        <v>37</v>
      </c>
      <c r="I63" s="99">
        <v>324</v>
      </c>
    </row>
    <row r="64" spans="1:14" x14ac:dyDescent="0.2">
      <c r="B64" s="126">
        <v>410</v>
      </c>
      <c r="C64" s="38">
        <v>37</v>
      </c>
      <c r="D64" s="39">
        <v>48.5</v>
      </c>
      <c r="E64" s="19">
        <v>68</v>
      </c>
      <c r="F64" s="67">
        <v>5</v>
      </c>
      <c r="G64" s="19">
        <v>125</v>
      </c>
      <c r="H64" s="80">
        <v>60</v>
      </c>
      <c r="I64" s="99">
        <v>324</v>
      </c>
    </row>
    <row r="65" spans="2:9" x14ac:dyDescent="0.2">
      <c r="B65" s="126">
        <v>360</v>
      </c>
      <c r="C65" s="38">
        <v>32</v>
      </c>
      <c r="D65" s="39">
        <v>42</v>
      </c>
      <c r="E65" s="19">
        <v>55</v>
      </c>
      <c r="F65" s="67">
        <v>5</v>
      </c>
      <c r="G65" s="19">
        <v>100</v>
      </c>
      <c r="H65" s="80">
        <v>40</v>
      </c>
      <c r="I65" s="99">
        <v>406</v>
      </c>
    </row>
    <row r="66" spans="2:9" x14ac:dyDescent="0.2">
      <c r="B66" s="126">
        <v>265</v>
      </c>
      <c r="C66" s="38">
        <v>16</v>
      </c>
      <c r="D66" s="39">
        <v>20</v>
      </c>
      <c r="E66" s="19">
        <v>41</v>
      </c>
      <c r="F66" s="67">
        <v>5</v>
      </c>
      <c r="G66" s="19">
        <v>63</v>
      </c>
      <c r="H66" s="80">
        <v>50</v>
      </c>
      <c r="I66" s="99">
        <v>406</v>
      </c>
    </row>
    <row r="67" spans="2:9" x14ac:dyDescent="0.2">
      <c r="B67" s="126">
        <v>310</v>
      </c>
      <c r="C67" s="38">
        <v>18</v>
      </c>
      <c r="D67" s="39">
        <v>22.5</v>
      </c>
      <c r="E67" s="19">
        <v>57</v>
      </c>
      <c r="F67" s="67">
        <v>5</v>
      </c>
      <c r="G67" s="19">
        <v>90</v>
      </c>
      <c r="H67" s="80">
        <v>60</v>
      </c>
      <c r="I67" s="99">
        <v>406</v>
      </c>
    </row>
    <row r="68" spans="2:9" x14ac:dyDescent="0.2">
      <c r="B68" s="126">
        <v>325</v>
      </c>
      <c r="C68" s="38">
        <v>23.2</v>
      </c>
      <c r="D68" s="39">
        <v>30</v>
      </c>
      <c r="E68" s="19">
        <v>79</v>
      </c>
      <c r="F68" s="68">
        <v>6</v>
      </c>
      <c r="G68" s="19">
        <v>100</v>
      </c>
      <c r="H68" s="80">
        <v>133</v>
      </c>
      <c r="I68" s="99">
        <v>711</v>
      </c>
    </row>
    <row r="69" spans="2:9" x14ac:dyDescent="0.2">
      <c r="B69" s="126">
        <v>475</v>
      </c>
      <c r="C69" s="38">
        <v>41</v>
      </c>
      <c r="D69" s="39">
        <v>48.5</v>
      </c>
      <c r="E69" s="19">
        <v>69</v>
      </c>
      <c r="F69" s="67">
        <v>5</v>
      </c>
      <c r="G69" s="19">
        <v>125</v>
      </c>
      <c r="H69" s="80">
        <v>60</v>
      </c>
      <c r="I69" s="99">
        <v>1220</v>
      </c>
    </row>
    <row r="70" spans="2:9" x14ac:dyDescent="0.2">
      <c r="B70" s="126">
        <v>575</v>
      </c>
      <c r="C70" s="38">
        <v>48</v>
      </c>
      <c r="D70" s="39">
        <v>58</v>
      </c>
      <c r="E70" s="19">
        <v>79</v>
      </c>
      <c r="F70" s="67">
        <v>5</v>
      </c>
      <c r="G70" s="19">
        <v>140</v>
      </c>
      <c r="H70" s="80">
        <v>89</v>
      </c>
      <c r="I70" s="99">
        <v>1220</v>
      </c>
    </row>
    <row r="71" spans="2:9" x14ac:dyDescent="0.2">
      <c r="B71" s="126">
        <v>500</v>
      </c>
      <c r="C71" s="38">
        <v>60</v>
      </c>
      <c r="D71" s="39">
        <v>71.5</v>
      </c>
      <c r="E71" s="19">
        <v>100</v>
      </c>
      <c r="F71" s="68">
        <v>5</v>
      </c>
      <c r="G71" s="19">
        <v>140</v>
      </c>
      <c r="H71" s="80">
        <v>100</v>
      </c>
      <c r="I71" s="99">
        <v>1220</v>
      </c>
    </row>
    <row r="72" spans="2:9" x14ac:dyDescent="0.2">
      <c r="B72" s="126">
        <v>525</v>
      </c>
      <c r="C72" s="38">
        <v>55</v>
      </c>
      <c r="D72" s="39">
        <v>63.5</v>
      </c>
      <c r="E72" s="19">
        <v>100</v>
      </c>
      <c r="F72" s="67">
        <v>6</v>
      </c>
      <c r="G72" s="19">
        <v>133</v>
      </c>
      <c r="H72" s="80">
        <v>133</v>
      </c>
      <c r="I72" s="99">
        <v>1220</v>
      </c>
    </row>
    <row r="73" spans="2:9" x14ac:dyDescent="0.2">
      <c r="B73" s="126">
        <v>400</v>
      </c>
      <c r="C73" s="38">
        <v>36</v>
      </c>
      <c r="D73" s="39">
        <v>46</v>
      </c>
      <c r="E73" s="19">
        <v>93</v>
      </c>
      <c r="F73" s="68">
        <v>6</v>
      </c>
      <c r="G73" s="19">
        <v>125</v>
      </c>
      <c r="H73" s="80">
        <v>140</v>
      </c>
      <c r="I73" s="99">
        <v>1220</v>
      </c>
    </row>
    <row r="74" spans="2:9" x14ac:dyDescent="0.2">
      <c r="B74" s="126">
        <v>440</v>
      </c>
      <c r="C74" s="38">
        <v>44</v>
      </c>
      <c r="D74" s="39">
        <v>55</v>
      </c>
      <c r="E74" s="19">
        <v>99</v>
      </c>
      <c r="F74" s="67">
        <v>6</v>
      </c>
      <c r="G74" s="19">
        <v>125</v>
      </c>
      <c r="H74" s="80">
        <v>140</v>
      </c>
      <c r="I74" s="99">
        <v>1220</v>
      </c>
    </row>
    <row r="75" spans="2:9" x14ac:dyDescent="0.2">
      <c r="B75" s="126">
        <v>425</v>
      </c>
      <c r="C75" s="38">
        <v>28</v>
      </c>
      <c r="D75" s="39">
        <v>37</v>
      </c>
      <c r="E75" s="19">
        <v>93</v>
      </c>
      <c r="F75" s="67">
        <v>6</v>
      </c>
      <c r="G75" s="19">
        <v>125</v>
      </c>
      <c r="H75" s="80">
        <v>144</v>
      </c>
      <c r="I75" s="99">
        <v>1220</v>
      </c>
    </row>
    <row r="76" spans="2:9" x14ac:dyDescent="0.2">
      <c r="B76" s="126">
        <v>625</v>
      </c>
      <c r="C76" s="38">
        <v>81</v>
      </c>
      <c r="D76" s="39">
        <v>98</v>
      </c>
      <c r="E76" s="19">
        <v>107</v>
      </c>
      <c r="F76" s="68">
        <v>5</v>
      </c>
      <c r="G76" s="19">
        <v>165</v>
      </c>
      <c r="H76" s="80">
        <v>89</v>
      </c>
      <c r="I76" s="99">
        <v>2000</v>
      </c>
    </row>
    <row r="77" spans="2:9" x14ac:dyDescent="0.2">
      <c r="B77" s="126">
        <v>650</v>
      </c>
      <c r="C77" s="38">
        <v>69</v>
      </c>
      <c r="D77" s="39">
        <v>84</v>
      </c>
      <c r="E77" s="19">
        <v>107</v>
      </c>
      <c r="F77" s="67">
        <v>5</v>
      </c>
      <c r="G77" s="19">
        <v>165</v>
      </c>
      <c r="H77" s="80">
        <v>89</v>
      </c>
      <c r="I77" s="99">
        <v>2000</v>
      </c>
    </row>
    <row r="78" spans="2:9" x14ac:dyDescent="0.2">
      <c r="B78" s="97">
        <v>615</v>
      </c>
      <c r="C78" s="38">
        <v>81</v>
      </c>
      <c r="D78" s="39">
        <v>98</v>
      </c>
      <c r="E78" s="19">
        <v>156</v>
      </c>
      <c r="F78" s="67">
        <v>6</v>
      </c>
      <c r="G78" s="19">
        <v>165</v>
      </c>
      <c r="H78" s="80">
        <v>219</v>
      </c>
      <c r="I78" s="99">
        <v>3000</v>
      </c>
    </row>
    <row r="79" spans="2:9" x14ac:dyDescent="0.2">
      <c r="B79" s="126">
        <v>700</v>
      </c>
      <c r="C79" s="38">
        <v>95</v>
      </c>
      <c r="D79" s="39">
        <v>110</v>
      </c>
      <c r="E79" s="19">
        <v>156</v>
      </c>
      <c r="F79" s="67">
        <v>6</v>
      </c>
      <c r="G79" s="19">
        <v>165</v>
      </c>
      <c r="H79" s="80">
        <v>219</v>
      </c>
      <c r="I79" s="99">
        <v>3000</v>
      </c>
    </row>
    <row r="82" spans="1:12" s="124" customFormat="1" ht="18" customHeight="1" x14ac:dyDescent="0.2">
      <c r="A82" s="123" t="s">
        <v>43</v>
      </c>
      <c r="C82" s="333" t="s">
        <v>84</v>
      </c>
      <c r="D82" s="334"/>
      <c r="E82" s="137" t="s">
        <v>79</v>
      </c>
      <c r="G82" s="137" t="s">
        <v>85</v>
      </c>
      <c r="H82" s="328" t="s">
        <v>86</v>
      </c>
      <c r="I82" s="329"/>
      <c r="K82" s="335" t="s">
        <v>71</v>
      </c>
      <c r="L82" s="336"/>
    </row>
    <row r="83" spans="1:12" ht="38.25" x14ac:dyDescent="0.2">
      <c r="B83" s="95" t="s">
        <v>37</v>
      </c>
      <c r="C83" s="77" t="s">
        <v>1</v>
      </c>
      <c r="D83" s="30" t="s">
        <v>2</v>
      </c>
      <c r="E83" s="108" t="s">
        <v>3</v>
      </c>
      <c r="F83" s="71" t="s">
        <v>35</v>
      </c>
      <c r="G83" s="108" t="s">
        <v>3</v>
      </c>
      <c r="H83" s="79" t="s">
        <v>1</v>
      </c>
      <c r="I83" s="138" t="s">
        <v>2</v>
      </c>
      <c r="K83" s="87" t="s">
        <v>50</v>
      </c>
      <c r="L83" s="87" t="s">
        <v>56</v>
      </c>
    </row>
    <row r="84" spans="1:12" x14ac:dyDescent="0.2">
      <c r="B84" s="97">
        <v>100</v>
      </c>
      <c r="C84" s="131">
        <v>9</v>
      </c>
      <c r="D84" s="109">
        <v>12.5</v>
      </c>
      <c r="E84" s="110">
        <v>31</v>
      </c>
      <c r="F84" s="115">
        <v>4</v>
      </c>
      <c r="G84" s="110">
        <v>60</v>
      </c>
      <c r="H84" s="112">
        <v>27</v>
      </c>
      <c r="I84" s="140">
        <v>219</v>
      </c>
      <c r="K84" s="90">
        <f t="shared" ref="K84:K105" si="5">IF(AND(H84&lt;=$L$112,I84&gt;=$L$112),1,0)</f>
        <v>1</v>
      </c>
      <c r="L84" s="92">
        <f t="shared" ref="L84:L105" si="6">IF(K84=1,C84,"")</f>
        <v>9</v>
      </c>
    </row>
    <row r="85" spans="1:12" x14ac:dyDescent="0.2">
      <c r="B85" s="126">
        <v>200</v>
      </c>
      <c r="C85" s="132">
        <v>12.5</v>
      </c>
      <c r="D85" s="39">
        <v>15.7</v>
      </c>
      <c r="E85" s="119">
        <v>30</v>
      </c>
      <c r="F85" s="120">
        <v>4</v>
      </c>
      <c r="G85" s="119">
        <v>63</v>
      </c>
      <c r="H85" s="121">
        <v>21</v>
      </c>
      <c r="I85" s="139">
        <v>324</v>
      </c>
      <c r="K85" s="90">
        <f t="shared" si="5"/>
        <v>1</v>
      </c>
      <c r="L85" s="92">
        <f t="shared" si="6"/>
        <v>12.5</v>
      </c>
    </row>
    <row r="86" spans="1:12" x14ac:dyDescent="0.2">
      <c r="B86" s="129">
        <v>275</v>
      </c>
      <c r="C86" s="83">
        <v>16</v>
      </c>
      <c r="D86" s="39">
        <v>20</v>
      </c>
      <c r="E86" s="19">
        <v>26</v>
      </c>
      <c r="F86" s="73">
        <v>4</v>
      </c>
      <c r="G86" s="19">
        <v>63</v>
      </c>
      <c r="H86" s="80">
        <v>13</v>
      </c>
      <c r="I86" s="139">
        <v>90</v>
      </c>
      <c r="K86" s="90">
        <f t="shared" si="5"/>
        <v>0</v>
      </c>
      <c r="L86" s="92" t="str">
        <f t="shared" si="6"/>
        <v/>
      </c>
    </row>
    <row r="87" spans="1:12" x14ac:dyDescent="0.2">
      <c r="B87" s="126">
        <v>265</v>
      </c>
      <c r="C87" s="83">
        <v>16</v>
      </c>
      <c r="D87" s="39">
        <v>20</v>
      </c>
      <c r="E87" s="19">
        <v>41</v>
      </c>
      <c r="F87" s="67">
        <v>5</v>
      </c>
      <c r="G87" s="19">
        <v>63</v>
      </c>
      <c r="H87" s="80">
        <v>50</v>
      </c>
      <c r="I87" s="139">
        <v>406</v>
      </c>
      <c r="K87" s="90">
        <f t="shared" si="5"/>
        <v>1</v>
      </c>
      <c r="L87" s="92">
        <f t="shared" si="6"/>
        <v>16</v>
      </c>
    </row>
    <row r="88" spans="1:12" x14ac:dyDescent="0.2">
      <c r="B88" s="126">
        <v>300</v>
      </c>
      <c r="C88" s="83">
        <v>18</v>
      </c>
      <c r="D88" s="39">
        <v>22.5</v>
      </c>
      <c r="E88" s="19">
        <v>41</v>
      </c>
      <c r="F88" s="67">
        <v>5</v>
      </c>
      <c r="G88" s="19">
        <v>90</v>
      </c>
      <c r="H88" s="80">
        <v>45</v>
      </c>
      <c r="I88" s="139">
        <v>273</v>
      </c>
      <c r="K88" s="90">
        <f t="shared" si="5"/>
        <v>1</v>
      </c>
      <c r="L88" s="92">
        <f t="shared" si="6"/>
        <v>18</v>
      </c>
    </row>
    <row r="89" spans="1:12" x14ac:dyDescent="0.2">
      <c r="B89" s="126">
        <v>310</v>
      </c>
      <c r="C89" s="83">
        <v>18</v>
      </c>
      <c r="D89" s="39">
        <v>22.5</v>
      </c>
      <c r="E89" s="19">
        <v>57</v>
      </c>
      <c r="F89" s="67">
        <v>5</v>
      </c>
      <c r="G89" s="19">
        <v>90</v>
      </c>
      <c r="H89" s="80">
        <v>60</v>
      </c>
      <c r="I89" s="139">
        <v>406</v>
      </c>
      <c r="K89" s="90">
        <f t="shared" si="5"/>
        <v>1</v>
      </c>
      <c r="L89" s="92">
        <f t="shared" si="6"/>
        <v>18</v>
      </c>
    </row>
    <row r="90" spans="1:12" x14ac:dyDescent="0.2">
      <c r="B90" s="126">
        <v>315</v>
      </c>
      <c r="C90" s="83">
        <v>21.1</v>
      </c>
      <c r="D90" s="39">
        <v>26</v>
      </c>
      <c r="E90" s="19">
        <v>38</v>
      </c>
      <c r="F90" s="67">
        <v>5</v>
      </c>
      <c r="G90" s="19">
        <v>90</v>
      </c>
      <c r="H90" s="80">
        <v>37</v>
      </c>
      <c r="I90" s="139">
        <v>324</v>
      </c>
      <c r="K90" s="90">
        <f t="shared" si="5"/>
        <v>1</v>
      </c>
      <c r="L90" s="92">
        <f t="shared" si="6"/>
        <v>21.1</v>
      </c>
    </row>
    <row r="91" spans="1:12" x14ac:dyDescent="0.2">
      <c r="B91" s="126">
        <v>325</v>
      </c>
      <c r="C91" s="83">
        <v>23.2</v>
      </c>
      <c r="D91" s="39">
        <v>30</v>
      </c>
      <c r="E91" s="19">
        <v>79</v>
      </c>
      <c r="F91" s="68">
        <v>6</v>
      </c>
      <c r="G91" s="19">
        <v>100</v>
      </c>
      <c r="H91" s="80">
        <v>133</v>
      </c>
      <c r="I91" s="139">
        <v>711</v>
      </c>
      <c r="K91" s="90">
        <f t="shared" si="5"/>
        <v>1</v>
      </c>
      <c r="L91" s="92">
        <f t="shared" si="6"/>
        <v>23.2</v>
      </c>
    </row>
    <row r="92" spans="1:12" x14ac:dyDescent="0.2">
      <c r="B92" s="126">
        <v>340</v>
      </c>
      <c r="C92" s="83">
        <v>25.5</v>
      </c>
      <c r="D92" s="39">
        <v>34</v>
      </c>
      <c r="E92" s="19">
        <v>41</v>
      </c>
      <c r="F92" s="67">
        <v>4</v>
      </c>
      <c r="G92" s="19">
        <v>100</v>
      </c>
      <c r="H92" s="80">
        <v>30</v>
      </c>
      <c r="I92" s="139">
        <v>324</v>
      </c>
      <c r="K92" s="90">
        <f t="shared" si="5"/>
        <v>1</v>
      </c>
      <c r="L92" s="92">
        <f t="shared" si="6"/>
        <v>25.5</v>
      </c>
    </row>
    <row r="93" spans="1:12" x14ac:dyDescent="0.2">
      <c r="B93" s="126">
        <v>425</v>
      </c>
      <c r="C93" s="83">
        <v>28</v>
      </c>
      <c r="D93" s="39">
        <v>37</v>
      </c>
      <c r="E93" s="19">
        <v>93</v>
      </c>
      <c r="F93" s="67">
        <v>6</v>
      </c>
      <c r="G93" s="19">
        <v>125</v>
      </c>
      <c r="H93" s="80">
        <v>144</v>
      </c>
      <c r="I93" s="139">
        <v>1220</v>
      </c>
      <c r="K93" s="90">
        <f t="shared" si="5"/>
        <v>1</v>
      </c>
      <c r="L93" s="92">
        <f t="shared" si="6"/>
        <v>28</v>
      </c>
    </row>
    <row r="94" spans="1:12" x14ac:dyDescent="0.2">
      <c r="B94" s="126">
        <v>360</v>
      </c>
      <c r="C94" s="83">
        <v>32</v>
      </c>
      <c r="D94" s="39">
        <v>42</v>
      </c>
      <c r="E94" s="19">
        <v>55</v>
      </c>
      <c r="F94" s="67">
        <v>5</v>
      </c>
      <c r="G94" s="19">
        <v>100</v>
      </c>
      <c r="H94" s="80">
        <v>40</v>
      </c>
      <c r="I94" s="139">
        <v>406</v>
      </c>
      <c r="K94" s="90">
        <f t="shared" si="5"/>
        <v>1</v>
      </c>
      <c r="L94" s="92">
        <f t="shared" si="6"/>
        <v>32</v>
      </c>
    </row>
    <row r="95" spans="1:12" x14ac:dyDescent="0.2">
      <c r="B95" s="126">
        <v>400</v>
      </c>
      <c r="C95" s="83">
        <v>36</v>
      </c>
      <c r="D95" s="39">
        <v>46</v>
      </c>
      <c r="E95" s="19">
        <v>93</v>
      </c>
      <c r="F95" s="68">
        <v>6</v>
      </c>
      <c r="G95" s="19">
        <v>125</v>
      </c>
      <c r="H95" s="80">
        <v>140</v>
      </c>
      <c r="I95" s="139">
        <v>1220</v>
      </c>
      <c r="K95" s="90">
        <f t="shared" si="5"/>
        <v>1</v>
      </c>
      <c r="L95" s="92">
        <f t="shared" si="6"/>
        <v>36</v>
      </c>
    </row>
    <row r="96" spans="1:12" x14ac:dyDescent="0.2">
      <c r="B96" s="126">
        <v>410</v>
      </c>
      <c r="C96" s="83">
        <v>37</v>
      </c>
      <c r="D96" s="39">
        <v>48.5</v>
      </c>
      <c r="E96" s="19">
        <v>68</v>
      </c>
      <c r="F96" s="67">
        <v>5</v>
      </c>
      <c r="G96" s="19">
        <v>125</v>
      </c>
      <c r="H96" s="80">
        <v>60</v>
      </c>
      <c r="I96" s="139">
        <v>324</v>
      </c>
      <c r="K96" s="90">
        <f t="shared" si="5"/>
        <v>1</v>
      </c>
      <c r="L96" s="92">
        <f t="shared" si="6"/>
        <v>37</v>
      </c>
    </row>
    <row r="97" spans="1:22" x14ac:dyDescent="0.2">
      <c r="B97" s="126">
        <v>475</v>
      </c>
      <c r="C97" s="83">
        <v>41</v>
      </c>
      <c r="D97" s="39">
        <v>48.5</v>
      </c>
      <c r="E97" s="19">
        <v>69</v>
      </c>
      <c r="F97" s="67">
        <v>5</v>
      </c>
      <c r="G97" s="19">
        <v>125</v>
      </c>
      <c r="H97" s="80">
        <v>60</v>
      </c>
      <c r="I97" s="139">
        <v>1220</v>
      </c>
      <c r="K97" s="90">
        <f t="shared" si="5"/>
        <v>1</v>
      </c>
      <c r="L97" s="92">
        <f t="shared" si="6"/>
        <v>41</v>
      </c>
    </row>
    <row r="98" spans="1:22" x14ac:dyDescent="0.2">
      <c r="B98" s="126">
        <v>440</v>
      </c>
      <c r="C98" s="83">
        <v>44</v>
      </c>
      <c r="D98" s="39">
        <v>55</v>
      </c>
      <c r="E98" s="19">
        <v>99</v>
      </c>
      <c r="F98" s="67">
        <v>6</v>
      </c>
      <c r="G98" s="19">
        <v>125</v>
      </c>
      <c r="H98" s="80">
        <v>140</v>
      </c>
      <c r="I98" s="139">
        <v>1220</v>
      </c>
      <c r="K98" s="90">
        <f t="shared" si="5"/>
        <v>1</v>
      </c>
      <c r="L98" s="92">
        <f t="shared" si="6"/>
        <v>44</v>
      </c>
    </row>
    <row r="99" spans="1:22" x14ac:dyDescent="0.2">
      <c r="B99" s="126">
        <v>575</v>
      </c>
      <c r="C99" s="83">
        <v>48</v>
      </c>
      <c r="D99" s="39">
        <v>58</v>
      </c>
      <c r="E99" s="19">
        <v>79</v>
      </c>
      <c r="F99" s="67">
        <v>5</v>
      </c>
      <c r="G99" s="19">
        <v>140</v>
      </c>
      <c r="H99" s="80">
        <v>89</v>
      </c>
      <c r="I99" s="139">
        <v>1220</v>
      </c>
      <c r="K99" s="90">
        <f t="shared" si="5"/>
        <v>1</v>
      </c>
      <c r="L99" s="92">
        <f t="shared" si="6"/>
        <v>48</v>
      </c>
    </row>
    <row r="100" spans="1:22" x14ac:dyDescent="0.2">
      <c r="B100" s="126">
        <v>525</v>
      </c>
      <c r="C100" s="83">
        <v>55</v>
      </c>
      <c r="D100" s="39">
        <v>63.5</v>
      </c>
      <c r="E100" s="19">
        <v>100</v>
      </c>
      <c r="F100" s="67">
        <v>6</v>
      </c>
      <c r="G100" s="19">
        <v>133</v>
      </c>
      <c r="H100" s="80">
        <v>133</v>
      </c>
      <c r="I100" s="139">
        <v>1220</v>
      </c>
      <c r="K100" s="90">
        <f t="shared" si="5"/>
        <v>1</v>
      </c>
      <c r="L100" s="92">
        <f t="shared" si="6"/>
        <v>55</v>
      </c>
    </row>
    <row r="101" spans="1:22" x14ac:dyDescent="0.2">
      <c r="B101" s="126">
        <v>500</v>
      </c>
      <c r="C101" s="83">
        <v>60</v>
      </c>
      <c r="D101" s="39">
        <v>71.5</v>
      </c>
      <c r="E101" s="19">
        <v>100</v>
      </c>
      <c r="F101" s="68">
        <v>5</v>
      </c>
      <c r="G101" s="19">
        <v>140</v>
      </c>
      <c r="H101" s="80">
        <v>100</v>
      </c>
      <c r="I101" s="139">
        <v>1220</v>
      </c>
      <c r="K101" s="90">
        <f t="shared" si="5"/>
        <v>1</v>
      </c>
      <c r="L101" s="92">
        <f t="shared" si="6"/>
        <v>60</v>
      </c>
    </row>
    <row r="102" spans="1:22" x14ac:dyDescent="0.2">
      <c r="B102" s="126">
        <v>650</v>
      </c>
      <c r="C102" s="83">
        <v>69</v>
      </c>
      <c r="D102" s="39">
        <v>84</v>
      </c>
      <c r="E102" s="19">
        <v>107</v>
      </c>
      <c r="F102" s="67">
        <v>5</v>
      </c>
      <c r="G102" s="19">
        <v>165</v>
      </c>
      <c r="H102" s="80">
        <v>89</v>
      </c>
      <c r="I102" s="139">
        <v>2000</v>
      </c>
      <c r="K102" s="90">
        <f t="shared" si="5"/>
        <v>1</v>
      </c>
      <c r="L102" s="92">
        <f t="shared" si="6"/>
        <v>69</v>
      </c>
    </row>
    <row r="103" spans="1:22" x14ac:dyDescent="0.2">
      <c r="B103" s="126">
        <v>625</v>
      </c>
      <c r="C103" s="83">
        <v>81</v>
      </c>
      <c r="D103" s="39">
        <v>98</v>
      </c>
      <c r="E103" s="19">
        <v>107</v>
      </c>
      <c r="F103" s="68">
        <v>5</v>
      </c>
      <c r="G103" s="19">
        <v>165</v>
      </c>
      <c r="H103" s="80">
        <v>89</v>
      </c>
      <c r="I103" s="139">
        <v>2000</v>
      </c>
      <c r="K103" s="90">
        <f t="shared" si="5"/>
        <v>1</v>
      </c>
      <c r="L103" s="92">
        <f t="shared" si="6"/>
        <v>81</v>
      </c>
    </row>
    <row r="104" spans="1:22" x14ac:dyDescent="0.2">
      <c r="B104" s="97">
        <v>615</v>
      </c>
      <c r="C104" s="83">
        <v>81</v>
      </c>
      <c r="D104" s="39">
        <v>98</v>
      </c>
      <c r="E104" s="19">
        <v>156</v>
      </c>
      <c r="F104" s="67">
        <v>6</v>
      </c>
      <c r="G104" s="19">
        <v>165</v>
      </c>
      <c r="H104" s="80">
        <v>219</v>
      </c>
      <c r="I104" s="139">
        <v>3000</v>
      </c>
      <c r="K104" s="90">
        <f t="shared" si="5"/>
        <v>0</v>
      </c>
      <c r="L104" s="92" t="str">
        <f t="shared" si="6"/>
        <v/>
      </c>
    </row>
    <row r="105" spans="1:22" x14ac:dyDescent="0.2">
      <c r="B105" s="126">
        <v>700</v>
      </c>
      <c r="C105" s="83">
        <v>95</v>
      </c>
      <c r="D105" s="39">
        <v>110</v>
      </c>
      <c r="E105" s="19">
        <v>156</v>
      </c>
      <c r="F105" s="67">
        <v>6</v>
      </c>
      <c r="G105" s="19">
        <v>165</v>
      </c>
      <c r="H105" s="80">
        <v>219</v>
      </c>
      <c r="I105" s="139">
        <v>3000</v>
      </c>
      <c r="K105" s="90">
        <f t="shared" si="5"/>
        <v>0</v>
      </c>
      <c r="L105" s="92" t="str">
        <f t="shared" si="6"/>
        <v/>
      </c>
    </row>
    <row r="107" spans="1:22" s="124" customFormat="1" ht="18" customHeight="1" x14ac:dyDescent="0.2">
      <c r="A107" s="123" t="s">
        <v>44</v>
      </c>
      <c r="C107" s="333" t="s">
        <v>84</v>
      </c>
      <c r="D107" s="334"/>
      <c r="E107" s="137" t="s">
        <v>79</v>
      </c>
      <c r="G107" s="137" t="s">
        <v>85</v>
      </c>
      <c r="H107" s="328" t="s">
        <v>86</v>
      </c>
      <c r="I107" s="329"/>
    </row>
    <row r="108" spans="1:22" x14ac:dyDescent="0.2">
      <c r="B108" s="95" t="s">
        <v>37</v>
      </c>
      <c r="C108" s="79" t="s">
        <v>1</v>
      </c>
      <c r="D108" s="136" t="s">
        <v>2</v>
      </c>
      <c r="E108" s="108" t="s">
        <v>3</v>
      </c>
      <c r="F108" s="71" t="s">
        <v>35</v>
      </c>
      <c r="G108" s="108" t="s">
        <v>3</v>
      </c>
      <c r="H108" s="79" t="s">
        <v>1</v>
      </c>
      <c r="I108" s="138" t="s">
        <v>2</v>
      </c>
    </row>
    <row r="109" spans="1:22" x14ac:dyDescent="0.2">
      <c r="B109" s="97">
        <v>100</v>
      </c>
      <c r="C109" s="133">
        <v>9</v>
      </c>
      <c r="D109" s="131">
        <v>12.5</v>
      </c>
      <c r="E109" s="110">
        <v>31</v>
      </c>
      <c r="F109" s="115">
        <v>4</v>
      </c>
      <c r="G109" s="110">
        <v>60</v>
      </c>
      <c r="H109" s="112">
        <v>27</v>
      </c>
      <c r="I109" s="140">
        <v>219</v>
      </c>
    </row>
    <row r="110" spans="1:22" x14ac:dyDescent="0.2">
      <c r="B110" s="126">
        <v>200</v>
      </c>
      <c r="C110" s="134">
        <v>12.5</v>
      </c>
      <c r="D110" s="85">
        <v>15.7</v>
      </c>
      <c r="E110" s="119">
        <v>30</v>
      </c>
      <c r="F110" s="120">
        <v>4</v>
      </c>
      <c r="G110" s="119">
        <v>63</v>
      </c>
      <c r="H110" s="121">
        <v>21</v>
      </c>
      <c r="I110" s="139">
        <v>324</v>
      </c>
    </row>
    <row r="111" spans="1:22" x14ac:dyDescent="0.2">
      <c r="B111" s="129">
        <v>275</v>
      </c>
      <c r="C111" s="135">
        <v>16</v>
      </c>
      <c r="D111" s="85">
        <v>20</v>
      </c>
      <c r="E111" s="19">
        <v>26</v>
      </c>
      <c r="F111" s="73">
        <v>4</v>
      </c>
      <c r="G111" s="19">
        <v>63</v>
      </c>
      <c r="H111" s="80">
        <v>13</v>
      </c>
      <c r="I111" s="139">
        <v>90</v>
      </c>
      <c r="N111" s="323" t="s">
        <v>42</v>
      </c>
      <c r="O111" s="324"/>
      <c r="P111" s="324"/>
      <c r="Q111" s="324"/>
      <c r="R111" s="325"/>
    </row>
    <row r="112" spans="1:22" x14ac:dyDescent="0.2">
      <c r="B112" s="126">
        <v>265</v>
      </c>
      <c r="C112" s="135">
        <v>16</v>
      </c>
      <c r="D112" s="85">
        <v>20</v>
      </c>
      <c r="E112" s="19">
        <v>41</v>
      </c>
      <c r="F112" s="67">
        <v>5</v>
      </c>
      <c r="G112" s="19">
        <v>63</v>
      </c>
      <c r="H112" s="80">
        <v>50</v>
      </c>
      <c r="I112" s="139">
        <v>406</v>
      </c>
      <c r="K112" s="141" t="s">
        <v>39</v>
      </c>
      <c r="L112" s="86">
        <f>'Calcul IL'!C13</f>
        <v>168</v>
      </c>
      <c r="N112" s="323" t="s">
        <v>54</v>
      </c>
      <c r="O112" s="330"/>
      <c r="P112" s="75">
        <f>LOOKUP(L112,H32:H53,B32:B53)</f>
        <v>425</v>
      </c>
      <c r="Q112" s="326" t="s">
        <v>46</v>
      </c>
      <c r="R112" s="327"/>
      <c r="S112" s="76">
        <f>LARGE(L32:L53,1)</f>
        <v>98</v>
      </c>
      <c r="T112" s="323" t="s">
        <v>47</v>
      </c>
      <c r="U112" s="330"/>
      <c r="V112" s="76">
        <f>L112+2*S112</f>
        <v>364</v>
      </c>
    </row>
    <row r="113" spans="2:22" x14ac:dyDescent="0.2">
      <c r="B113" s="126">
        <v>300</v>
      </c>
      <c r="C113" s="135">
        <v>18</v>
      </c>
      <c r="D113" s="85">
        <v>22.5</v>
      </c>
      <c r="E113" s="19">
        <v>41</v>
      </c>
      <c r="F113" s="67">
        <v>5</v>
      </c>
      <c r="G113" s="19">
        <v>90</v>
      </c>
      <c r="H113" s="80">
        <v>45</v>
      </c>
      <c r="I113" s="139">
        <v>273</v>
      </c>
      <c r="Q113" s="326" t="s">
        <v>52</v>
      </c>
      <c r="R113" s="327"/>
      <c r="S113" s="76">
        <f>SMALL(N32:N53,1)</f>
        <v>9</v>
      </c>
      <c r="T113" s="323" t="s">
        <v>51</v>
      </c>
      <c r="U113" s="330"/>
      <c r="V113" s="76">
        <f>L112+2*S113</f>
        <v>186</v>
      </c>
    </row>
    <row r="114" spans="2:22" x14ac:dyDescent="0.2">
      <c r="B114" s="126">
        <v>310</v>
      </c>
      <c r="C114" s="135">
        <v>18</v>
      </c>
      <c r="D114" s="85">
        <v>22.5</v>
      </c>
      <c r="E114" s="19">
        <v>57</v>
      </c>
      <c r="F114" s="67">
        <v>5</v>
      </c>
      <c r="G114" s="19">
        <v>90</v>
      </c>
      <c r="H114" s="80">
        <v>60</v>
      </c>
      <c r="I114" s="139">
        <v>406</v>
      </c>
    </row>
    <row r="115" spans="2:22" x14ac:dyDescent="0.2">
      <c r="B115" s="126">
        <v>315</v>
      </c>
      <c r="C115" s="135">
        <v>21.1</v>
      </c>
      <c r="D115" s="85">
        <v>26</v>
      </c>
      <c r="E115" s="19">
        <v>38</v>
      </c>
      <c r="F115" s="67">
        <v>5</v>
      </c>
      <c r="G115" s="19">
        <v>90</v>
      </c>
      <c r="H115" s="80">
        <v>37</v>
      </c>
      <c r="I115" s="139">
        <v>324</v>
      </c>
      <c r="K115" s="141" t="s">
        <v>40</v>
      </c>
      <c r="L115" s="94">
        <f>'Calcul IL'!E39</f>
        <v>250</v>
      </c>
      <c r="N115" s="323" t="s">
        <v>55</v>
      </c>
      <c r="O115" s="324"/>
      <c r="P115" s="324"/>
      <c r="Q115" s="331"/>
      <c r="R115" s="332"/>
      <c r="S115" s="84"/>
    </row>
    <row r="116" spans="2:22" x14ac:dyDescent="0.2">
      <c r="B116" s="126">
        <v>325</v>
      </c>
      <c r="C116" s="135">
        <v>23.2</v>
      </c>
      <c r="D116" s="85">
        <v>30</v>
      </c>
      <c r="E116" s="19">
        <v>79</v>
      </c>
      <c r="F116" s="68">
        <v>6</v>
      </c>
      <c r="G116" s="19">
        <v>100</v>
      </c>
      <c r="H116" s="80">
        <v>133</v>
      </c>
      <c r="I116" s="139">
        <v>711</v>
      </c>
      <c r="N116" s="326" t="s">
        <v>53</v>
      </c>
      <c r="O116" s="327"/>
      <c r="P116" s="75">
        <f>(L115-L112)/2</f>
        <v>41</v>
      </c>
      <c r="Q116" s="323" t="s">
        <v>94</v>
      </c>
      <c r="R116" s="330"/>
      <c r="S116" s="76">
        <f>LOOKUP(P116,L84:L105,B84:B105)</f>
        <v>475</v>
      </c>
    </row>
    <row r="117" spans="2:22" x14ac:dyDescent="0.2">
      <c r="B117" s="126">
        <v>340</v>
      </c>
      <c r="C117" s="135">
        <v>25.5</v>
      </c>
      <c r="D117" s="85">
        <v>34</v>
      </c>
      <c r="E117" s="19">
        <v>41</v>
      </c>
      <c r="F117" s="67">
        <v>4</v>
      </c>
      <c r="G117" s="19">
        <v>100</v>
      </c>
      <c r="H117" s="80">
        <v>30</v>
      </c>
      <c r="I117" s="139">
        <v>324</v>
      </c>
      <c r="K117" s="141" t="s">
        <v>41</v>
      </c>
      <c r="L117" s="86">
        <f>'Calcul IL'!C29</f>
        <v>200</v>
      </c>
      <c r="Q117" s="326" t="s">
        <v>57</v>
      </c>
      <c r="R117" s="327"/>
      <c r="S117" s="93">
        <f>LOOKUP(S116,B7:B28,C7:C28)</f>
        <v>41</v>
      </c>
      <c r="T117" s="84" t="s">
        <v>3</v>
      </c>
    </row>
    <row r="118" spans="2:22" x14ac:dyDescent="0.2">
      <c r="B118" s="126">
        <v>425</v>
      </c>
      <c r="C118" s="135">
        <v>28</v>
      </c>
      <c r="D118" s="85">
        <v>37</v>
      </c>
      <c r="E118" s="19">
        <v>93</v>
      </c>
      <c r="F118" s="67">
        <v>6</v>
      </c>
      <c r="G118" s="19">
        <v>125</v>
      </c>
      <c r="H118" s="80">
        <v>144</v>
      </c>
      <c r="I118" s="139">
        <v>1220</v>
      </c>
      <c r="Q118" s="326" t="s">
        <v>58</v>
      </c>
      <c r="R118" s="327"/>
      <c r="S118" s="93">
        <f>LOOKUP(S116,B7:B28,D7:D28)</f>
        <v>48.5</v>
      </c>
      <c r="T118" s="84" t="s">
        <v>3</v>
      </c>
    </row>
    <row r="119" spans="2:22" x14ac:dyDescent="0.2">
      <c r="B119" s="126">
        <v>360</v>
      </c>
      <c r="C119" s="135">
        <v>32</v>
      </c>
      <c r="D119" s="85">
        <v>42</v>
      </c>
      <c r="E119" s="19">
        <v>55</v>
      </c>
      <c r="F119" s="67">
        <v>5</v>
      </c>
      <c r="G119" s="19">
        <v>100</v>
      </c>
      <c r="H119" s="80">
        <v>40</v>
      </c>
      <c r="I119" s="139">
        <v>406</v>
      </c>
      <c r="Q119" s="326" t="s">
        <v>59</v>
      </c>
      <c r="R119" s="327"/>
      <c r="S119" s="93">
        <f>LOOKUP(S116,B7:B28,E7:E28)</f>
        <v>69</v>
      </c>
      <c r="T119" s="84" t="s">
        <v>3</v>
      </c>
    </row>
    <row r="120" spans="2:22" x14ac:dyDescent="0.2">
      <c r="B120" s="126">
        <v>400</v>
      </c>
      <c r="C120" s="135">
        <v>36</v>
      </c>
      <c r="D120" s="85">
        <v>46</v>
      </c>
      <c r="E120" s="19">
        <v>93</v>
      </c>
      <c r="F120" s="68">
        <v>6</v>
      </c>
      <c r="G120" s="19">
        <v>125</v>
      </c>
      <c r="H120" s="80">
        <v>140</v>
      </c>
      <c r="I120" s="139">
        <v>1220</v>
      </c>
      <c r="Q120" s="326" t="s">
        <v>60</v>
      </c>
      <c r="R120" s="327"/>
      <c r="S120" s="93" t="str">
        <f>IF(S136="PB","",LOOKUP(S116,B7:B28,G7:G28))</f>
        <v/>
      </c>
      <c r="T120" s="84" t="s">
        <v>3</v>
      </c>
    </row>
    <row r="121" spans="2:22" x14ac:dyDescent="0.2">
      <c r="B121" s="126">
        <v>410</v>
      </c>
      <c r="C121" s="135">
        <v>37</v>
      </c>
      <c r="D121" s="85">
        <v>48.5</v>
      </c>
      <c r="E121" s="19">
        <v>68</v>
      </c>
      <c r="F121" s="67">
        <v>5</v>
      </c>
      <c r="G121" s="19">
        <v>125</v>
      </c>
      <c r="H121" s="80">
        <v>60</v>
      </c>
      <c r="I121" s="139">
        <v>324</v>
      </c>
      <c r="Q121" s="326" t="s">
        <v>68</v>
      </c>
      <c r="R121" s="327"/>
      <c r="S121" s="100">
        <f>LOOKUP(S116,B7:B28,F7:F28)</f>
        <v>5</v>
      </c>
    </row>
    <row r="122" spans="2:22" x14ac:dyDescent="0.2">
      <c r="B122" s="126">
        <v>475</v>
      </c>
      <c r="C122" s="135">
        <v>41</v>
      </c>
      <c r="D122" s="85">
        <v>48.5</v>
      </c>
      <c r="E122" s="19">
        <v>69</v>
      </c>
      <c r="F122" s="67">
        <v>5</v>
      </c>
      <c r="G122" s="19">
        <v>125</v>
      </c>
      <c r="H122" s="80">
        <v>60</v>
      </c>
      <c r="I122" s="139">
        <v>1220</v>
      </c>
      <c r="Q122" s="326" t="s">
        <v>69</v>
      </c>
      <c r="R122" s="327"/>
      <c r="S122" s="100">
        <f>LOOKUP(S116,B7:B28,J7:J28)</f>
        <v>12</v>
      </c>
      <c r="T122" s="84" t="s">
        <v>73</v>
      </c>
    </row>
    <row r="123" spans="2:22" x14ac:dyDescent="0.2">
      <c r="B123" s="126">
        <v>440</v>
      </c>
      <c r="C123" s="135">
        <v>44</v>
      </c>
      <c r="D123" s="85">
        <v>55</v>
      </c>
      <c r="E123" s="19">
        <v>99</v>
      </c>
      <c r="F123" s="67">
        <v>6</v>
      </c>
      <c r="G123" s="19">
        <v>125</v>
      </c>
      <c r="H123" s="80">
        <v>140</v>
      </c>
      <c r="I123" s="139">
        <v>1220</v>
      </c>
      <c r="Q123" s="326" t="s">
        <v>78</v>
      </c>
      <c r="R123" s="327"/>
      <c r="S123" s="93">
        <f>LOOKUP(S116,B7:B28,L7:L28)</f>
        <v>0.40778999999999999</v>
      </c>
      <c r="T123" s="84" t="s">
        <v>76</v>
      </c>
    </row>
    <row r="124" spans="2:22" x14ac:dyDescent="0.2">
      <c r="B124" s="126">
        <v>575</v>
      </c>
      <c r="C124" s="135">
        <v>48</v>
      </c>
      <c r="D124" s="85">
        <v>58</v>
      </c>
      <c r="E124" s="19">
        <v>79</v>
      </c>
      <c r="F124" s="67">
        <v>5</v>
      </c>
      <c r="G124" s="19">
        <v>140</v>
      </c>
      <c r="H124" s="80">
        <v>89</v>
      </c>
      <c r="I124" s="139">
        <v>1220</v>
      </c>
    </row>
    <row r="125" spans="2:22" x14ac:dyDescent="0.2">
      <c r="B125" s="126">
        <v>525</v>
      </c>
      <c r="C125" s="135">
        <v>55</v>
      </c>
      <c r="D125" s="85">
        <v>63.5</v>
      </c>
      <c r="E125" s="19">
        <v>100</v>
      </c>
      <c r="F125" s="67">
        <v>6</v>
      </c>
      <c r="G125" s="19">
        <v>133</v>
      </c>
      <c r="H125" s="80">
        <v>133</v>
      </c>
      <c r="I125" s="139">
        <v>1220</v>
      </c>
      <c r="N125" s="323" t="s">
        <v>61</v>
      </c>
      <c r="O125" s="324"/>
      <c r="P125" s="324"/>
      <c r="Q125" s="324"/>
      <c r="R125" s="325"/>
    </row>
    <row r="126" spans="2:22" x14ac:dyDescent="0.2">
      <c r="B126" s="126">
        <v>500</v>
      </c>
      <c r="C126" s="135">
        <v>60</v>
      </c>
      <c r="D126" s="85">
        <v>71.5</v>
      </c>
      <c r="E126" s="19">
        <v>100</v>
      </c>
      <c r="F126" s="68">
        <v>5</v>
      </c>
      <c r="G126" s="19">
        <v>140</v>
      </c>
      <c r="H126" s="80">
        <v>100</v>
      </c>
      <c r="I126" s="139">
        <v>1220</v>
      </c>
      <c r="K126" s="84" t="s">
        <v>62</v>
      </c>
      <c r="L126">
        <f>(L115+L112)/2*PI()</f>
        <v>656.59286460026681</v>
      </c>
      <c r="M126" s="84" t="s">
        <v>3</v>
      </c>
    </row>
    <row r="127" spans="2:22" x14ac:dyDescent="0.2">
      <c r="B127" s="126">
        <v>650</v>
      </c>
      <c r="C127" s="135">
        <v>69</v>
      </c>
      <c r="D127" s="85">
        <v>84</v>
      </c>
      <c r="E127" s="19">
        <v>107</v>
      </c>
      <c r="F127" s="67">
        <v>5</v>
      </c>
      <c r="G127" s="19">
        <v>165</v>
      </c>
      <c r="H127" s="80">
        <v>89</v>
      </c>
      <c r="I127" s="139">
        <v>2000</v>
      </c>
      <c r="K127" s="84" t="s">
        <v>63</v>
      </c>
      <c r="L127">
        <f>L126/S119</f>
        <v>9.5158386173951719</v>
      </c>
    </row>
    <row r="128" spans="2:22" x14ac:dyDescent="0.2">
      <c r="B128" s="126">
        <v>625</v>
      </c>
      <c r="C128" s="135">
        <v>81</v>
      </c>
      <c r="D128" s="85">
        <v>98</v>
      </c>
      <c r="E128" s="19">
        <v>107</v>
      </c>
      <c r="F128" s="68">
        <v>5</v>
      </c>
      <c r="G128" s="19">
        <v>165</v>
      </c>
      <c r="H128" s="80">
        <v>89</v>
      </c>
      <c r="I128" s="139">
        <v>2000</v>
      </c>
      <c r="K128" s="84" t="s">
        <v>64</v>
      </c>
      <c r="L128">
        <f>ROUNDDOWN(L127,0)</f>
        <v>9</v>
      </c>
    </row>
    <row r="129" spans="2:20" x14ac:dyDescent="0.2">
      <c r="B129" s="97">
        <v>615</v>
      </c>
      <c r="C129" s="135">
        <v>81</v>
      </c>
      <c r="D129" s="85">
        <v>98</v>
      </c>
      <c r="E129" s="19">
        <v>156</v>
      </c>
      <c r="F129" s="67">
        <v>6</v>
      </c>
      <c r="G129" s="19">
        <v>165</v>
      </c>
      <c r="H129" s="80">
        <v>219</v>
      </c>
      <c r="I129" s="139">
        <v>3000</v>
      </c>
      <c r="K129" s="84" t="s">
        <v>83</v>
      </c>
      <c r="L129">
        <f>IF(L127-L128&lt;=0.5,0,1)</f>
        <v>1</v>
      </c>
    </row>
    <row r="130" spans="2:20" x14ac:dyDescent="0.2">
      <c r="B130" s="126">
        <v>700</v>
      </c>
      <c r="C130" s="135">
        <v>95</v>
      </c>
      <c r="D130" s="85">
        <v>110</v>
      </c>
      <c r="E130" s="19">
        <v>156</v>
      </c>
      <c r="F130" s="67">
        <v>6</v>
      </c>
      <c r="G130" s="19">
        <v>165</v>
      </c>
      <c r="H130" s="80">
        <v>219</v>
      </c>
      <c r="I130" s="139">
        <v>3000</v>
      </c>
      <c r="K130" s="84" t="s">
        <v>72</v>
      </c>
      <c r="L130">
        <f>L128+L129</f>
        <v>10</v>
      </c>
    </row>
    <row r="131" spans="2:20" ht="13.5" thickBot="1" x14ac:dyDescent="0.25"/>
    <row r="132" spans="2:20" x14ac:dyDescent="0.2">
      <c r="J132" s="343" t="s">
        <v>96</v>
      </c>
      <c r="K132" s="344"/>
      <c r="L132" s="344"/>
      <c r="M132" s="157" t="s">
        <v>93</v>
      </c>
      <c r="N132" s="157"/>
      <c r="O132" s="149"/>
      <c r="P132" s="149"/>
      <c r="Q132" s="149"/>
      <c r="R132" s="149"/>
      <c r="S132" s="149"/>
      <c r="T132" s="150"/>
    </row>
    <row r="133" spans="2:20" x14ac:dyDescent="0.2">
      <c r="J133" s="151"/>
      <c r="K133" s="41"/>
      <c r="L133" s="41"/>
      <c r="M133" s="41"/>
      <c r="N133" s="41"/>
      <c r="O133" s="41"/>
      <c r="P133" s="41"/>
      <c r="Q133" s="41"/>
      <c r="R133" s="41"/>
      <c r="S133" s="41"/>
      <c r="T133" s="152"/>
    </row>
    <row r="134" spans="2:20" x14ac:dyDescent="0.2">
      <c r="J134" s="339" t="s">
        <v>95</v>
      </c>
      <c r="K134" s="340"/>
      <c r="L134" s="340"/>
      <c r="M134" s="153">
        <f>L130*S119</f>
        <v>690</v>
      </c>
      <c r="N134" s="341" t="s">
        <v>97</v>
      </c>
      <c r="O134" s="342"/>
      <c r="P134" s="342"/>
      <c r="Q134" s="163">
        <f>M134/PI()</f>
        <v>219.63382146681556</v>
      </c>
      <c r="R134" s="159" t="s">
        <v>98</v>
      </c>
      <c r="S134" s="41"/>
      <c r="T134" s="162">
        <f>Q134+S117</f>
        <v>260.63382146681556</v>
      </c>
    </row>
    <row r="135" spans="2:20" ht="13.5" thickBot="1" x14ac:dyDescent="0.25">
      <c r="J135" s="160"/>
      <c r="K135" s="161"/>
      <c r="L135" s="161"/>
      <c r="M135" s="153" t="s">
        <v>3</v>
      </c>
      <c r="N135" s="41"/>
      <c r="O135" s="41"/>
      <c r="P135" s="41"/>
      <c r="Q135" s="158" t="s">
        <v>3</v>
      </c>
      <c r="R135" s="159"/>
      <c r="S135" s="41"/>
      <c r="T135" s="164" t="s">
        <v>3</v>
      </c>
    </row>
    <row r="136" spans="2:20" x14ac:dyDescent="0.2">
      <c r="I136" s="74"/>
      <c r="J136" s="154"/>
      <c r="K136" s="41"/>
      <c r="L136" s="41"/>
      <c r="R136" s="349" t="s">
        <v>99</v>
      </c>
      <c r="S136" s="345" t="str">
        <f>IF(T134&gt;=L115,"PB","OK")</f>
        <v>PB</v>
      </c>
      <c r="T136" s="346"/>
    </row>
    <row r="137" spans="2:20" ht="13.5" thickBot="1" x14ac:dyDescent="0.25">
      <c r="J137" s="155"/>
      <c r="K137" s="156"/>
      <c r="L137" s="156"/>
      <c r="M137" s="156"/>
      <c r="N137" s="156"/>
      <c r="O137" s="156"/>
      <c r="P137" s="156"/>
      <c r="Q137" s="156"/>
      <c r="R137" s="348"/>
      <c r="S137" s="347"/>
      <c r="T137" s="348"/>
    </row>
  </sheetData>
  <mergeCells count="35">
    <mergeCell ref="J134:L134"/>
    <mergeCell ref="N134:P134"/>
    <mergeCell ref="J132:L132"/>
    <mergeCell ref="S136:T137"/>
    <mergeCell ref="R136:R137"/>
    <mergeCell ref="C5:D5"/>
    <mergeCell ref="Q112:R112"/>
    <mergeCell ref="N111:R111"/>
    <mergeCell ref="N116:O116"/>
    <mergeCell ref="N112:O112"/>
    <mergeCell ref="H5:I5"/>
    <mergeCell ref="H30:I30"/>
    <mergeCell ref="K82:L82"/>
    <mergeCell ref="K5:L5"/>
    <mergeCell ref="C56:D56"/>
    <mergeCell ref="H56:I56"/>
    <mergeCell ref="K30:N30"/>
    <mergeCell ref="C30:D30"/>
    <mergeCell ref="C82:D82"/>
    <mergeCell ref="C107:D107"/>
    <mergeCell ref="Q117:R117"/>
    <mergeCell ref="H82:I82"/>
    <mergeCell ref="H107:I107"/>
    <mergeCell ref="T112:U112"/>
    <mergeCell ref="T113:U113"/>
    <mergeCell ref="Q113:R113"/>
    <mergeCell ref="Q116:R116"/>
    <mergeCell ref="N115:R115"/>
    <mergeCell ref="N125:R125"/>
    <mergeCell ref="Q123:R123"/>
    <mergeCell ref="Q118:R118"/>
    <mergeCell ref="Q119:R119"/>
    <mergeCell ref="Q120:R120"/>
    <mergeCell ref="Q121:R121"/>
    <mergeCell ref="Q122:R122"/>
  </mergeCells>
  <pageMargins left="0.70866141732283472" right="0.70866141732283472" top="0.74803149606299213" bottom="0.74803149606299213" header="0.31496062992125984" footer="0.31496062992125984"/>
  <pageSetup paperSize="9" scale="2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T119"/>
  <sheetViews>
    <sheetView showGridLines="0" tabSelected="1" zoomScale="70" zoomScaleNormal="70" zoomScalePageLayoutView="60" workbookViewId="0">
      <selection activeCell="E39" sqref="E39:F40"/>
    </sheetView>
  </sheetViews>
  <sheetFormatPr baseColWidth="10" defaultRowHeight="12.75" x14ac:dyDescent="0.2"/>
  <cols>
    <col min="1" max="1" width="11.42578125" style="2"/>
    <col min="2" max="2" width="28" style="2" bestFit="1" customWidth="1"/>
    <col min="3" max="3" width="14.28515625" style="2" customWidth="1"/>
    <col min="4" max="4" width="12.85546875" style="2" customWidth="1"/>
    <col min="5" max="5" width="16" style="2" bestFit="1" customWidth="1"/>
    <col min="6" max="6" width="16.140625" style="2" customWidth="1"/>
    <col min="7" max="7" width="13.7109375" style="2" bestFit="1" customWidth="1"/>
    <col min="8" max="8" width="11.42578125" style="2"/>
    <col min="9" max="9" width="15.7109375" style="2" bestFit="1" customWidth="1"/>
    <col min="10" max="10" width="11.5703125" style="2" bestFit="1" customWidth="1"/>
    <col min="11" max="11" width="12.28515625" style="2" customWidth="1"/>
    <col min="12" max="12" width="12.7109375" style="2" customWidth="1"/>
    <col min="13" max="16" width="11.5703125" style="2" bestFit="1" customWidth="1"/>
    <col min="17" max="17" width="10.42578125" style="2" customWidth="1"/>
    <col min="18" max="18" width="11.5703125" style="2" bestFit="1" customWidth="1"/>
    <col min="19" max="24" width="11.42578125" style="2"/>
    <col min="25" max="25" width="21.28515625" style="2" customWidth="1"/>
    <col min="26" max="16384" width="11.42578125" style="2"/>
  </cols>
  <sheetData>
    <row r="1" spans="2:20" ht="13.5" thickBot="1" x14ac:dyDescent="0.25"/>
    <row r="2" spans="2:20" ht="13.5" thickBot="1" x14ac:dyDescent="0.2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84" t="s">
        <v>237</v>
      </c>
      <c r="R2" s="284"/>
      <c r="S2" s="284"/>
      <c r="T2" s="285"/>
    </row>
    <row r="3" spans="2:20" x14ac:dyDescent="0.2">
      <c r="B3" s="5"/>
      <c r="C3" s="3"/>
      <c r="D3" s="3"/>
      <c r="E3" s="3"/>
      <c r="F3" s="3"/>
      <c r="G3" s="266" t="s">
        <v>81</v>
      </c>
      <c r="H3" s="267"/>
      <c r="I3" s="267"/>
      <c r="J3" s="267"/>
      <c r="K3" s="267"/>
      <c r="L3" s="267"/>
      <c r="M3" s="268"/>
      <c r="N3" s="3"/>
      <c r="O3" s="3"/>
      <c r="P3" s="3"/>
      <c r="Q3" s="286"/>
      <c r="R3" s="286"/>
      <c r="S3" s="286"/>
      <c r="T3" s="287"/>
    </row>
    <row r="4" spans="2:20" ht="13.5" thickBot="1" x14ac:dyDescent="0.25">
      <c r="B4" s="5"/>
      <c r="C4" s="3"/>
      <c r="D4" s="3"/>
      <c r="E4" s="3"/>
      <c r="F4" s="3"/>
      <c r="G4" s="269"/>
      <c r="H4" s="270"/>
      <c r="I4" s="270"/>
      <c r="J4" s="270"/>
      <c r="K4" s="270"/>
      <c r="L4" s="270"/>
      <c r="M4" s="271"/>
      <c r="N4" s="3"/>
      <c r="O4" s="3"/>
      <c r="P4" s="3"/>
      <c r="Q4" s="3"/>
      <c r="R4" s="3"/>
      <c r="S4" s="3"/>
      <c r="T4" s="6"/>
    </row>
    <row r="5" spans="2:20" x14ac:dyDescent="0.2">
      <c r="B5" s="5"/>
      <c r="C5" s="3"/>
      <c r="D5" s="3"/>
      <c r="E5" s="3"/>
      <c r="F5" s="4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2:20" ht="24" customHeight="1" x14ac:dyDescent="0.35">
      <c r="B6" s="5"/>
      <c r="C6" s="3"/>
      <c r="D6" s="3"/>
      <c r="E6" s="3" t="s">
        <v>4</v>
      </c>
      <c r="F6" s="3"/>
      <c r="G6" s="3"/>
      <c r="H6" s="3"/>
      <c r="I6" s="3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6"/>
    </row>
    <row r="7" spans="2:20" ht="14.25" customHeight="1" thickBot="1" x14ac:dyDescent="0.3">
      <c r="B7" s="42"/>
      <c r="C7" s="4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</row>
    <row r="8" spans="2:20" x14ac:dyDescent="0.2">
      <c r="B8" s="5"/>
      <c r="C8" s="3"/>
      <c r="D8" s="3"/>
      <c r="E8" s="3"/>
      <c r="F8" s="3"/>
      <c r="G8" s="3"/>
      <c r="H8" s="3"/>
      <c r="I8" s="3"/>
      <c r="J8" s="273" t="s">
        <v>82</v>
      </c>
      <c r="K8" s="274"/>
      <c r="L8" s="274"/>
      <c r="M8" s="274"/>
      <c r="N8" s="274"/>
      <c r="O8" s="274"/>
      <c r="P8" s="274"/>
      <c r="Q8" s="274"/>
      <c r="R8" s="274"/>
      <c r="S8" s="275"/>
      <c r="T8" s="6"/>
    </row>
    <row r="9" spans="2:20" x14ac:dyDescent="0.2">
      <c r="B9" s="5"/>
      <c r="C9" s="3"/>
      <c r="D9" s="3"/>
      <c r="E9" s="3"/>
      <c r="F9" s="3"/>
      <c r="G9" s="3"/>
      <c r="H9" s="3"/>
      <c r="I9" s="3"/>
      <c r="J9" s="276"/>
      <c r="K9" s="277"/>
      <c r="L9" s="277"/>
      <c r="M9" s="277"/>
      <c r="N9" s="277"/>
      <c r="O9" s="277"/>
      <c r="P9" s="277"/>
      <c r="Q9" s="277"/>
      <c r="R9" s="277"/>
      <c r="S9" s="278"/>
      <c r="T9" s="6"/>
    </row>
    <row r="10" spans="2:20" x14ac:dyDescent="0.2">
      <c r="B10" s="232" t="s">
        <v>33</v>
      </c>
      <c r="C10" s="233"/>
      <c r="D10" s="3"/>
      <c r="E10" s="3"/>
      <c r="F10" s="3"/>
      <c r="G10" s="3"/>
      <c r="H10" s="3"/>
      <c r="I10" s="3"/>
      <c r="J10" s="281" t="s">
        <v>31</v>
      </c>
      <c r="K10" s="282"/>
      <c r="L10" s="282"/>
      <c r="M10" s="282"/>
      <c r="N10" s="282"/>
      <c r="O10" s="280" t="s">
        <v>24</v>
      </c>
      <c r="P10" s="280"/>
      <c r="Q10" s="289" t="s">
        <v>25</v>
      </c>
      <c r="R10" s="290"/>
      <c r="S10" s="291"/>
      <c r="T10" s="6"/>
    </row>
    <row r="11" spans="2:20" ht="13.5" thickBot="1" x14ac:dyDescent="0.25">
      <c r="B11" s="234"/>
      <c r="C11" s="235"/>
      <c r="D11" s="3"/>
      <c r="E11" s="3"/>
      <c r="F11" s="3"/>
      <c r="G11" s="3"/>
      <c r="H11" s="3"/>
      <c r="I11" s="3"/>
      <c r="J11" s="281"/>
      <c r="K11" s="282"/>
      <c r="L11" s="282"/>
      <c r="M11" s="282"/>
      <c r="N11" s="282"/>
      <c r="O11" s="280"/>
      <c r="P11" s="280"/>
      <c r="Q11" s="290"/>
      <c r="R11" s="290"/>
      <c r="S11" s="291"/>
      <c r="T11" s="6"/>
    </row>
    <row r="12" spans="2:20" x14ac:dyDescent="0.2">
      <c r="B12" s="5"/>
      <c r="C12" s="3"/>
      <c r="D12" s="3"/>
      <c r="E12" s="3"/>
      <c r="F12" s="3"/>
      <c r="G12" s="3"/>
      <c r="H12" s="3"/>
      <c r="I12" s="3"/>
      <c r="J12" s="5"/>
      <c r="K12" s="3"/>
      <c r="L12" s="3"/>
      <c r="M12" s="3"/>
      <c r="N12" s="3"/>
      <c r="O12" s="3"/>
      <c r="P12" s="3"/>
      <c r="Q12" s="3"/>
      <c r="R12" s="3"/>
      <c r="S12" s="6"/>
      <c r="T12" s="6"/>
    </row>
    <row r="13" spans="2:20" ht="18" x14ac:dyDescent="0.25">
      <c r="B13" s="43" t="s">
        <v>23</v>
      </c>
      <c r="C13" s="217"/>
      <c r="D13" s="32" t="s">
        <v>3</v>
      </c>
      <c r="E13" s="3"/>
      <c r="F13" s="3"/>
      <c r="G13" s="3"/>
      <c r="H13" s="3"/>
      <c r="I13" s="3"/>
      <c r="J13" s="232" t="str">
        <f>IF(C13=0,"1 : Entrer le Øext canalisation","")</f>
        <v>1 : Entrer le Øext canalisation</v>
      </c>
      <c r="K13" s="288"/>
      <c r="L13" s="288"/>
      <c r="M13" s="288"/>
      <c r="N13" s="288"/>
      <c r="O13" s="288"/>
      <c r="P13" s="288"/>
      <c r="Q13" s="288"/>
      <c r="R13" s="288"/>
      <c r="S13" s="283"/>
      <c r="T13" s="6"/>
    </row>
    <row r="14" spans="2:20" x14ac:dyDescent="0.2">
      <c r="B14" s="5"/>
      <c r="C14" s="3"/>
      <c r="D14" s="44" t="s">
        <v>20</v>
      </c>
      <c r="E14" s="3"/>
      <c r="F14" s="3"/>
      <c r="G14" s="3"/>
      <c r="H14" s="3"/>
      <c r="I14" s="3"/>
      <c r="J14" s="232"/>
      <c r="K14" s="288"/>
      <c r="L14" s="288"/>
      <c r="M14" s="288"/>
      <c r="N14" s="288"/>
      <c r="O14" s="288"/>
      <c r="P14" s="288"/>
      <c r="Q14" s="288"/>
      <c r="R14" s="288"/>
      <c r="S14" s="283"/>
      <c r="T14" s="6"/>
    </row>
    <row r="15" spans="2:20" x14ac:dyDescent="0.2">
      <c r="B15" s="5"/>
      <c r="C15" s="3"/>
      <c r="D15" s="3"/>
      <c r="E15" s="3"/>
      <c r="F15" s="3"/>
      <c r="G15" s="3"/>
      <c r="H15" s="282" t="s">
        <v>6</v>
      </c>
      <c r="I15" s="3"/>
      <c r="J15" s="232" t="str">
        <f>IF(OR(C13=0,C29&lt;&gt;0),"", "2 : Entrer Epaisseur paroi")</f>
        <v/>
      </c>
      <c r="K15" s="288"/>
      <c r="L15" s="288"/>
      <c r="M15" s="288"/>
      <c r="N15" s="288"/>
      <c r="O15" s="288"/>
      <c r="P15" s="288"/>
      <c r="Q15" s="288"/>
      <c r="R15" s="288"/>
      <c r="S15" s="283"/>
      <c r="T15" s="6"/>
    </row>
    <row r="16" spans="2:20" ht="12.75" customHeight="1" x14ac:dyDescent="0.2">
      <c r="B16" s="45" t="s">
        <v>7</v>
      </c>
      <c r="C16" s="3" t="s">
        <v>5</v>
      </c>
      <c r="D16" s="3"/>
      <c r="E16" s="3"/>
      <c r="F16" s="3"/>
      <c r="G16" s="3"/>
      <c r="H16" s="282"/>
      <c r="I16" s="3"/>
      <c r="J16" s="232"/>
      <c r="K16" s="288"/>
      <c r="L16" s="288"/>
      <c r="M16" s="288"/>
      <c r="N16" s="288"/>
      <c r="O16" s="288"/>
      <c r="P16" s="288"/>
      <c r="Q16" s="288"/>
      <c r="R16" s="288"/>
      <c r="S16" s="283"/>
      <c r="T16" s="6"/>
    </row>
    <row r="17" spans="2:20" ht="13.5" customHeight="1" x14ac:dyDescent="0.2">
      <c r="B17" s="5"/>
      <c r="C17" s="3"/>
      <c r="D17" s="3"/>
      <c r="E17" s="3"/>
      <c r="F17" s="3"/>
      <c r="G17" s="3"/>
      <c r="H17" s="282"/>
      <c r="I17" s="3"/>
      <c r="J17" s="232" t="str">
        <f>IF(OR(C13=0,C29=0,E39&lt;&gt;0),""," 3 : Choisir Øorifice de paroi" )</f>
        <v/>
      </c>
      <c r="K17" s="288"/>
      <c r="L17" s="288"/>
      <c r="M17" s="288"/>
      <c r="N17" s="288"/>
      <c r="O17" s="288"/>
      <c r="P17" s="288" t="str">
        <f>IF(OR(C13=0,C29=0,E39&lt;&gt;0),"",D39)</f>
        <v/>
      </c>
      <c r="Q17" s="288" t="str">
        <f>IF(OR(C13=0,C29=0,E39&lt;&gt;0),"","&lt;Øorifice&lt;")</f>
        <v/>
      </c>
      <c r="R17" s="288"/>
      <c r="S17" s="283" t="str">
        <f>IF(OR(C13=0,C29=0,E39&lt;&gt;0),"",D40)</f>
        <v/>
      </c>
      <c r="T17" s="6"/>
    </row>
    <row r="18" spans="2:20" ht="12.75" customHeight="1" x14ac:dyDescent="0.2">
      <c r="B18" s="5"/>
      <c r="C18" s="3"/>
      <c r="D18" s="3"/>
      <c r="E18" s="3"/>
      <c r="F18" s="3"/>
      <c r="G18" s="3"/>
      <c r="H18" s="3"/>
      <c r="I18" s="3"/>
      <c r="J18" s="232"/>
      <c r="K18" s="288"/>
      <c r="L18" s="288"/>
      <c r="M18" s="288"/>
      <c r="N18" s="288"/>
      <c r="O18" s="288"/>
      <c r="P18" s="288"/>
      <c r="Q18" s="288"/>
      <c r="R18" s="288"/>
      <c r="S18" s="283"/>
      <c r="T18" s="6"/>
    </row>
    <row r="19" spans="2:20" ht="13.5" customHeight="1" x14ac:dyDescent="0.2">
      <c r="B19" s="5"/>
      <c r="C19" s="3"/>
      <c r="D19" s="3"/>
      <c r="E19" s="3"/>
      <c r="F19" s="3"/>
      <c r="G19" s="3"/>
      <c r="H19" s="3"/>
      <c r="I19" s="3"/>
      <c r="J19" s="238" t="str">
        <f>IF(O50&lt;&gt;"","VOTRE PRESSIO EST ALORS PARFAITEMENT DEFINI","")</f>
        <v/>
      </c>
      <c r="K19" s="239"/>
      <c r="L19" s="239"/>
      <c r="M19" s="239"/>
      <c r="N19" s="239"/>
      <c r="O19" s="239"/>
      <c r="P19" s="239"/>
      <c r="Q19" s="239"/>
      <c r="R19" s="239"/>
      <c r="S19" s="240"/>
      <c r="T19" s="6"/>
    </row>
    <row r="20" spans="2:20" x14ac:dyDescent="0.2">
      <c r="B20" s="5"/>
      <c r="C20" s="3"/>
      <c r="D20" s="3"/>
      <c r="E20" s="3"/>
      <c r="F20" s="3"/>
      <c r="G20" s="3"/>
      <c r="H20" s="3"/>
      <c r="I20" s="3"/>
      <c r="J20" s="238"/>
      <c r="K20" s="239"/>
      <c r="L20" s="239"/>
      <c r="M20" s="239"/>
      <c r="N20" s="239"/>
      <c r="O20" s="239"/>
      <c r="P20" s="239"/>
      <c r="Q20" s="239"/>
      <c r="R20" s="239"/>
      <c r="S20" s="240"/>
      <c r="T20" s="6"/>
    </row>
    <row r="21" spans="2:20" x14ac:dyDescent="0.2">
      <c r="B21" s="5"/>
      <c r="C21" s="3"/>
      <c r="D21" s="3"/>
      <c r="E21" s="3"/>
      <c r="F21" s="3"/>
      <c r="G21" s="3"/>
      <c r="H21" s="3"/>
      <c r="I21" s="3"/>
      <c r="J21" s="238"/>
      <c r="K21" s="239"/>
      <c r="L21" s="239"/>
      <c r="M21" s="239"/>
      <c r="N21" s="239"/>
      <c r="O21" s="239"/>
      <c r="P21" s="239"/>
      <c r="Q21" s="239"/>
      <c r="R21" s="239"/>
      <c r="S21" s="240"/>
      <c r="T21" s="6"/>
    </row>
    <row r="22" spans="2:20" ht="12.75" customHeight="1" x14ac:dyDescent="0.2">
      <c r="B22" s="5"/>
      <c r="C22" s="3"/>
      <c r="D22" s="3"/>
      <c r="E22" s="3"/>
      <c r="F22" s="3"/>
      <c r="G22" s="3"/>
      <c r="H22" s="3"/>
      <c r="I22" s="3"/>
      <c r="J22" s="59"/>
      <c r="K22" s="60"/>
      <c r="L22" s="243" t="str">
        <f>IF(E50&lt;&gt;"",D50,"")</f>
        <v/>
      </c>
      <c r="M22" s="243"/>
      <c r="N22" s="241" t="str">
        <f>IF(E50&lt;&gt;"",E50,"")</f>
        <v/>
      </c>
      <c r="O22" s="243" t="str">
        <f>IF(E50&lt;&gt;"",O50,"")</f>
        <v/>
      </c>
      <c r="P22" s="60"/>
      <c r="Q22" s="60"/>
      <c r="R22" s="60"/>
      <c r="S22" s="61"/>
      <c r="T22" s="6"/>
    </row>
    <row r="23" spans="2:20" ht="12.75" customHeight="1" thickBot="1" x14ac:dyDescent="0.25">
      <c r="B23" s="5"/>
      <c r="C23" s="3"/>
      <c r="D23" s="3"/>
      <c r="E23" s="3"/>
      <c r="F23" s="3"/>
      <c r="G23" s="3"/>
      <c r="H23" s="3"/>
      <c r="I23" s="3"/>
      <c r="J23" s="62"/>
      <c r="K23" s="63"/>
      <c r="L23" s="244"/>
      <c r="M23" s="244"/>
      <c r="N23" s="242"/>
      <c r="O23" s="244"/>
      <c r="P23" s="63"/>
      <c r="Q23" s="63"/>
      <c r="R23" s="63"/>
      <c r="S23" s="64"/>
      <c r="T23" s="6"/>
    </row>
    <row r="24" spans="2:20" ht="23.25" x14ac:dyDescent="0.35">
      <c r="B24" s="5"/>
      <c r="C24" s="3"/>
      <c r="D24" s="3"/>
      <c r="E24" s="3"/>
      <c r="F24" s="3"/>
      <c r="G24" s="3"/>
      <c r="H24" s="3"/>
      <c r="I24" s="3"/>
      <c r="J24" s="236" t="str">
        <f>F48</f>
        <v/>
      </c>
      <c r="K24" s="237"/>
      <c r="L24" s="237"/>
      <c r="M24" s="237"/>
      <c r="N24" s="237"/>
      <c r="O24" s="237"/>
      <c r="P24" s="237"/>
      <c r="Q24" s="237"/>
      <c r="R24" s="237"/>
      <c r="S24" s="237"/>
      <c r="T24" s="6"/>
    </row>
    <row r="25" spans="2:20" ht="23.25" x14ac:dyDescent="0.35">
      <c r="B25" s="5"/>
      <c r="C25" s="65"/>
      <c r="D25" s="3"/>
      <c r="E25" s="3"/>
      <c r="F25" s="3"/>
      <c r="G25" s="3"/>
      <c r="H25" s="3"/>
      <c r="I25" s="3"/>
      <c r="J25" s="236" t="str">
        <f>IF(O22&lt;=3, "ATTENTION nombre N39de maillons trop faible veuillez nous consulter","")</f>
        <v/>
      </c>
      <c r="K25" s="237"/>
      <c r="L25" s="237"/>
      <c r="M25" s="237"/>
      <c r="N25" s="237"/>
      <c r="O25" s="237"/>
      <c r="P25" s="237"/>
      <c r="Q25" s="237"/>
      <c r="R25" s="237"/>
      <c r="S25" s="237"/>
      <c r="T25" s="6"/>
    </row>
    <row r="26" spans="2:20" ht="18" customHeight="1" x14ac:dyDescent="0.25">
      <c r="B26" s="232" t="s">
        <v>34</v>
      </c>
      <c r="C26" s="233"/>
      <c r="D26" s="3"/>
      <c r="E26" s="3"/>
      <c r="F26" s="3"/>
      <c r="G26" s="3"/>
      <c r="H26" s="3"/>
      <c r="I26" s="3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6"/>
    </row>
    <row r="27" spans="2:20" ht="13.5" customHeight="1" thickBot="1" x14ac:dyDescent="0.25">
      <c r="B27" s="234"/>
      <c r="C27" s="23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6"/>
    </row>
    <row r="28" spans="2:20" ht="15.75" x14ac:dyDescent="0.25">
      <c r="B28" s="5"/>
      <c r="C28" s="3"/>
      <c r="D28" s="3"/>
      <c r="E28" s="3"/>
      <c r="F28" s="3"/>
      <c r="G28" s="3"/>
      <c r="H28" s="3"/>
      <c r="I28" s="3"/>
      <c r="J28" s="22" t="s">
        <v>9</v>
      </c>
      <c r="K28" s="245" t="s">
        <v>10</v>
      </c>
      <c r="L28" s="246"/>
      <c r="M28" s="246"/>
      <c r="N28" s="246"/>
      <c r="O28" s="246"/>
      <c r="P28" s="246"/>
      <c r="Q28" s="246"/>
      <c r="R28" s="246"/>
      <c r="S28" s="247"/>
      <c r="T28" s="6"/>
    </row>
    <row r="29" spans="2:20" ht="18" x14ac:dyDescent="0.25">
      <c r="B29" s="43" t="s">
        <v>21</v>
      </c>
      <c r="C29" s="217"/>
      <c r="D29" s="32" t="s">
        <v>3</v>
      </c>
      <c r="E29" s="3" t="s">
        <v>8</v>
      </c>
      <c r="F29" s="3"/>
      <c r="G29" s="3"/>
      <c r="H29" s="3"/>
      <c r="I29" s="3"/>
      <c r="J29" s="23">
        <v>100</v>
      </c>
      <c r="K29" s="23">
        <v>108</v>
      </c>
      <c r="L29" s="23">
        <v>111</v>
      </c>
      <c r="M29" s="23">
        <v>121</v>
      </c>
      <c r="N29" s="23">
        <v>127</v>
      </c>
      <c r="O29" s="23"/>
      <c r="P29" s="23"/>
      <c r="Q29" s="23"/>
      <c r="R29" s="23"/>
      <c r="S29" s="24"/>
      <c r="T29" s="6"/>
    </row>
    <row r="30" spans="2:20" x14ac:dyDescent="0.2">
      <c r="B30" s="5"/>
      <c r="C30" s="3"/>
      <c r="D30" s="3"/>
      <c r="E30" s="3"/>
      <c r="F30" s="3"/>
      <c r="G30" s="3"/>
      <c r="H30" s="3"/>
      <c r="I30" s="3"/>
      <c r="J30" s="25">
        <v>125</v>
      </c>
      <c r="K30" s="22">
        <v>127</v>
      </c>
      <c r="L30" s="25">
        <v>133</v>
      </c>
      <c r="M30" s="25">
        <v>137</v>
      </c>
      <c r="N30" s="25">
        <v>141</v>
      </c>
      <c r="O30" s="25">
        <v>146</v>
      </c>
      <c r="P30" s="25">
        <v>152</v>
      </c>
      <c r="Q30" s="25"/>
      <c r="R30" s="25"/>
      <c r="S30" s="26"/>
      <c r="T30" s="6"/>
    </row>
    <row r="31" spans="2:20" x14ac:dyDescent="0.2">
      <c r="B31" s="5"/>
      <c r="C31" s="3"/>
      <c r="D31" s="3"/>
      <c r="E31" s="3"/>
      <c r="F31" s="3"/>
      <c r="G31" s="3"/>
      <c r="H31" s="3"/>
      <c r="I31" s="3"/>
      <c r="J31" s="23">
        <v>150</v>
      </c>
      <c r="K31" s="23">
        <v>159</v>
      </c>
      <c r="L31" s="23">
        <v>160</v>
      </c>
      <c r="M31" s="23">
        <v>162</v>
      </c>
      <c r="N31" s="23">
        <v>168</v>
      </c>
      <c r="O31" s="23">
        <v>176</v>
      </c>
      <c r="P31" s="23">
        <v>182</v>
      </c>
      <c r="Q31" s="23">
        <v>184</v>
      </c>
      <c r="R31" s="23">
        <v>187</v>
      </c>
      <c r="S31" s="24">
        <v>196</v>
      </c>
      <c r="T31" s="6"/>
    </row>
    <row r="32" spans="2:20" x14ac:dyDescent="0.2">
      <c r="B32" s="5"/>
      <c r="C32" s="3"/>
      <c r="D32" s="3"/>
      <c r="E32" s="3"/>
      <c r="F32" s="3"/>
      <c r="G32" s="3"/>
      <c r="H32" s="3"/>
      <c r="I32" s="3"/>
      <c r="J32" s="25">
        <v>200</v>
      </c>
      <c r="K32" s="25">
        <v>210</v>
      </c>
      <c r="L32" s="25">
        <v>222</v>
      </c>
      <c r="M32" s="25">
        <v>225</v>
      </c>
      <c r="N32" s="25">
        <v>228</v>
      </c>
      <c r="O32" s="25">
        <v>248</v>
      </c>
      <c r="P32" s="25">
        <v>254</v>
      </c>
      <c r="Q32" s="25"/>
      <c r="R32" s="25"/>
      <c r="S32" s="26"/>
      <c r="T32" s="6"/>
    </row>
    <row r="33" spans="2:20" x14ac:dyDescent="0.2">
      <c r="B33" s="5"/>
      <c r="C33" s="7"/>
      <c r="D33" s="7"/>
      <c r="E33" s="3"/>
      <c r="F33" s="3"/>
      <c r="G33" s="7"/>
      <c r="H33" s="7"/>
      <c r="I33" s="7"/>
      <c r="J33" s="23">
        <v>250</v>
      </c>
      <c r="K33" s="23">
        <v>254</v>
      </c>
      <c r="L33" s="23">
        <v>276</v>
      </c>
      <c r="M33" s="23">
        <v>299</v>
      </c>
      <c r="N33" s="23"/>
      <c r="O33" s="23"/>
      <c r="P33" s="23"/>
      <c r="Q33" s="23"/>
      <c r="R33" s="23"/>
      <c r="S33" s="24"/>
      <c r="T33" s="6"/>
    </row>
    <row r="34" spans="2:20" x14ac:dyDescent="0.2">
      <c r="B34" s="5"/>
      <c r="C34" s="3"/>
      <c r="D34" s="3"/>
      <c r="E34" s="248" t="s">
        <v>32</v>
      </c>
      <c r="F34" s="249"/>
      <c r="G34" s="3"/>
      <c r="H34" s="3"/>
      <c r="I34" s="3"/>
      <c r="J34" s="27">
        <v>300</v>
      </c>
      <c r="K34" s="27">
        <v>342</v>
      </c>
      <c r="L34" s="27">
        <v>355</v>
      </c>
      <c r="M34" s="27"/>
      <c r="N34" s="27"/>
      <c r="O34" s="27"/>
      <c r="P34" s="27"/>
      <c r="Q34" s="27"/>
      <c r="R34" s="27"/>
      <c r="S34" s="28"/>
      <c r="T34" s="6"/>
    </row>
    <row r="35" spans="2:20" ht="12.75" customHeight="1" x14ac:dyDescent="0.2">
      <c r="B35" s="5"/>
      <c r="C35" s="3"/>
      <c r="D35" s="3"/>
      <c r="E35" s="249"/>
      <c r="F35" s="249"/>
      <c r="G35" s="3"/>
      <c r="H35" s="3"/>
      <c r="I35" s="3"/>
      <c r="J35" s="3"/>
      <c r="K35" s="3"/>
      <c r="L35" s="3"/>
      <c r="M35" s="3"/>
      <c r="N35" s="3"/>
      <c r="O35" s="3"/>
      <c r="P35" s="14" t="s">
        <v>15</v>
      </c>
      <c r="Q35" s="3"/>
      <c r="R35" s="3"/>
      <c r="S35" s="3"/>
      <c r="T35" s="6"/>
    </row>
    <row r="36" spans="2:20" ht="19.5" customHeight="1" thickBot="1" x14ac:dyDescent="0.25">
      <c r="B36" s="5"/>
      <c r="C36" s="3"/>
      <c r="D36" s="3"/>
      <c r="E36" s="250"/>
      <c r="F36" s="250"/>
      <c r="G36" s="10"/>
      <c r="H36" s="11"/>
      <c r="I36" s="12"/>
      <c r="J36" s="3"/>
      <c r="K36" s="3"/>
      <c r="L36" s="3"/>
      <c r="M36" s="3"/>
      <c r="N36" s="3"/>
      <c r="O36" s="3"/>
      <c r="P36" s="14" t="s">
        <v>14</v>
      </c>
      <c r="Q36" s="3"/>
      <c r="R36" s="3" t="s">
        <v>11</v>
      </c>
      <c r="S36" s="3"/>
      <c r="T36" s="6"/>
    </row>
    <row r="37" spans="2:20" x14ac:dyDescent="0.2">
      <c r="B37" s="51" t="s">
        <v>22</v>
      </c>
      <c r="C37" s="256" t="s">
        <v>6</v>
      </c>
      <c r="D37" s="257"/>
      <c r="E37" s="296" t="s">
        <v>26</v>
      </c>
      <c r="F37" s="297"/>
      <c r="G37" s="251" t="s">
        <v>16</v>
      </c>
      <c r="H37" s="252"/>
      <c r="I37" s="253"/>
      <c r="J37" s="3"/>
      <c r="K37" s="3"/>
      <c r="L37" s="3"/>
      <c r="M37" s="3"/>
      <c r="N37" s="3"/>
      <c r="O37" s="3"/>
      <c r="P37" s="14" t="s">
        <v>12</v>
      </c>
      <c r="Q37" s="3"/>
      <c r="R37" s="14" t="s">
        <v>13</v>
      </c>
      <c r="S37" s="3"/>
      <c r="T37" s="6"/>
    </row>
    <row r="38" spans="2:20" ht="19.5" customHeight="1" x14ac:dyDescent="0.2">
      <c r="B38" s="52" t="s">
        <v>92</v>
      </c>
      <c r="C38" s="258"/>
      <c r="D38" s="259"/>
      <c r="E38" s="258"/>
      <c r="F38" s="259"/>
      <c r="G38" s="254" t="str">
        <f>IF(E39&lt;&gt;0,IF('Tab Calculs (protégés)'!P116&lt;B39,"Diamètre orifice trop petit",(E39-C13)/2),"")</f>
        <v/>
      </c>
      <c r="H38" s="254"/>
      <c r="I38" s="255"/>
      <c r="J38" s="3"/>
      <c r="K38" s="3"/>
      <c r="L38" s="3"/>
      <c r="M38" s="3"/>
      <c r="N38" s="3"/>
      <c r="O38" s="3"/>
      <c r="P38" s="3"/>
      <c r="Q38" s="3"/>
      <c r="R38" s="3"/>
      <c r="S38" s="3"/>
      <c r="T38" s="6"/>
    </row>
    <row r="39" spans="2:20" ht="15.75" customHeight="1" x14ac:dyDescent="0.2">
      <c r="B39" s="315" t="str">
        <f>IF(AND(C13&lt;&gt;0,C29&lt;&gt;0),'Tab Calculs (protégés)'!S113,"")</f>
        <v/>
      </c>
      <c r="C39" s="145" t="s">
        <v>27</v>
      </c>
      <c r="D39" s="50" t="str">
        <f>IF(AND(C13&lt;&gt;0,C29&lt;&gt;0),ROUNDUP('Tab Calculs (protégés) (2,0)'!AC33,0),"")</f>
        <v/>
      </c>
      <c r="E39" s="262"/>
      <c r="F39" s="263"/>
      <c r="G39" s="305" t="str">
        <f>IF(E39&lt;&gt;0,IF(OR(E39&lt;D39,E39&gt;D40),"MAUVAIS CHOIX Øorifice - si besoin voir Service Technique",""),"")</f>
        <v/>
      </c>
      <c r="H39" s="305"/>
      <c r="I39" s="305"/>
      <c r="J39" s="3"/>
      <c r="K39" s="3"/>
      <c r="L39" s="3"/>
      <c r="M39" s="3"/>
      <c r="N39" s="3"/>
      <c r="O39" s="3"/>
      <c r="P39" s="3"/>
      <c r="Q39" s="3"/>
      <c r="R39" s="3"/>
      <c r="S39" s="3"/>
      <c r="T39" s="6"/>
    </row>
    <row r="40" spans="2:20" ht="15.75" customHeight="1" x14ac:dyDescent="0.2">
      <c r="B40" s="316"/>
      <c r="C40" s="58" t="s">
        <v>28</v>
      </c>
      <c r="D40" s="53" t="str">
        <f>IF(AND(C13&lt;&gt;0,C29&lt;&gt;0),ROUNDDOWN('Tab Calculs (protégés) (2,0)'!AC32,0),"")</f>
        <v/>
      </c>
      <c r="E40" s="264"/>
      <c r="F40" s="265"/>
      <c r="G40" s="305"/>
      <c r="H40" s="305"/>
      <c r="I40" s="305"/>
      <c r="J40" s="3"/>
      <c r="K40" s="3"/>
      <c r="L40" s="3"/>
      <c r="M40" s="3"/>
      <c r="N40" s="3"/>
      <c r="O40" s="3"/>
      <c r="P40" s="3"/>
      <c r="Q40" s="3"/>
      <c r="R40" s="3"/>
      <c r="S40" s="3"/>
      <c r="T40" s="6"/>
    </row>
    <row r="41" spans="2:20" ht="15.75" x14ac:dyDescent="0.25">
      <c r="B41" s="5"/>
      <c r="C41" s="3"/>
      <c r="D41" s="3"/>
      <c r="E41" s="295"/>
      <c r="F41" s="295"/>
      <c r="G41" s="206" t="str">
        <f>IF(F48&lt;&gt;"","",IF('Tab Calculs (protégés) (2,0)'!Y36="","Le joint pouvant être défini n'est pas optimal - MERCI DE CONTACTER LE SERVICE TECHNIQUE NORHAM ou ajuster le Øorifice paroi ",""))</f>
        <v xml:space="preserve">Le joint pouvant être défini n'est pas optimal - MERCI DE CONTACTER LE SERVICE TECHNIQUE NORHAM ou ajuster le Øorifice paroi 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</row>
    <row r="42" spans="2:20" ht="27" x14ac:dyDescent="0.35">
      <c r="B42" s="5"/>
      <c r="C42" s="3"/>
      <c r="D42" s="3"/>
      <c r="E42" s="3"/>
      <c r="F42" s="3"/>
      <c r="G42" s="227" t="str">
        <f>IF(C13&gt;=900,"Attention voir avec le Service Technique et Qualité NORHAM  la validité de la solution","")</f>
        <v/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</row>
    <row r="43" spans="2:20" ht="13.5" thickBot="1" x14ac:dyDescent="0.25"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6"/>
    </row>
    <row r="44" spans="2:20" ht="18.75" thickBot="1" x14ac:dyDescent="0.3">
      <c r="B44" s="260" t="s">
        <v>90</v>
      </c>
      <c r="C44" s="261"/>
      <c r="D44" s="13"/>
      <c r="E44" s="13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6"/>
    </row>
    <row r="45" spans="2:20" ht="12.75" customHeight="1" x14ac:dyDescent="0.2">
      <c r="B45" s="46" t="s">
        <v>87</v>
      </c>
      <c r="C45" s="317" t="s">
        <v>0</v>
      </c>
      <c r="D45" s="318"/>
      <c r="E45" s="73" t="s">
        <v>19</v>
      </c>
      <c r="F45" s="300" t="s">
        <v>80</v>
      </c>
      <c r="G45" s="301"/>
      <c r="H45" s="3"/>
      <c r="I45" s="306" t="str">
        <f>IF(G41&lt;&gt;"","",IF(AND(F47&gt;C29,E39&lt;&gt;0,G39&lt;&gt;0),"CONTACTER LE SERVICE TECHNIQUE NORHAM",IF(E39&lt;&gt;0,IF(C29&gt;=3*F47,"LA PAROI EST TRES EPAISSE - PREVOIR ALORS 2 PRESSIO  1 DE CHAQUE CÔTE DE LA PAROI","1 SEUL PRESSIO EST NECESSAIRE"),"")))</f>
        <v/>
      </c>
      <c r="J45" s="307"/>
      <c r="K45" s="307"/>
      <c r="L45" s="307"/>
      <c r="M45" s="307"/>
      <c r="N45" s="307"/>
      <c r="O45" s="307"/>
      <c r="P45" s="308"/>
      <c r="Q45" s="3"/>
      <c r="R45" s="3"/>
      <c r="S45" s="3"/>
      <c r="T45" s="6"/>
    </row>
    <row r="46" spans="2:20" ht="15.75" customHeight="1" x14ac:dyDescent="0.25">
      <c r="B46" s="143" t="str">
        <f>IF(AND(E39&gt;=D39,E39&lt;=D40,C13&lt;&gt;0,C29&lt;&gt;0,G41=""),'Tab Calculs (protégés) (2,0)'!Y36,"")</f>
        <v/>
      </c>
      <c r="C46" s="21" t="s">
        <v>17</v>
      </c>
      <c r="D46" s="21" t="s">
        <v>18</v>
      </c>
      <c r="E46" s="21" t="s">
        <v>3</v>
      </c>
      <c r="F46" s="302" t="s">
        <v>3</v>
      </c>
      <c r="G46" s="303"/>
      <c r="H46" s="3"/>
      <c r="I46" s="309"/>
      <c r="J46" s="310"/>
      <c r="K46" s="310"/>
      <c r="L46" s="310"/>
      <c r="M46" s="310"/>
      <c r="N46" s="310"/>
      <c r="O46" s="310"/>
      <c r="P46" s="311"/>
      <c r="Q46" s="3"/>
      <c r="R46" s="3"/>
      <c r="S46" s="3"/>
      <c r="T46" s="6"/>
    </row>
    <row r="47" spans="2:20" ht="13.5" customHeight="1" thickBot="1" x14ac:dyDescent="0.25">
      <c r="B47" s="47"/>
      <c r="C47" s="40" t="str">
        <f>IF(AND(E39&gt;=D39,E39&lt;=D40,C13&lt;&gt;0,C29&lt;&gt;0,G41=""),'Tab Calculs (protégés) (2,0)'!Y37,"")</f>
        <v/>
      </c>
      <c r="D47" s="40" t="str">
        <f>IF(AND(E39&gt;=D39,E39&lt;=D40,C13&lt;&gt;0,C29&lt;&gt;0,G41=""),'Tab Calculs (protégés) (2,0)'!Y38,"")</f>
        <v/>
      </c>
      <c r="E47" s="40" t="str">
        <f>IF(AND(E39&gt;=D39,E39&lt;=D40,C13&lt;&gt;0,C29&lt;&gt;0,G41=""),'Tab Calculs (protégés) (2,0)'!Y39,"")</f>
        <v/>
      </c>
      <c r="F47" s="292" t="str">
        <f>IF(AND(E39&gt;=D39,E39&lt;=D40,C13&lt;&gt;0,C29&lt;&gt;0),'Tab Calculs (protégés) (2,0)'!Y40,"")</f>
        <v/>
      </c>
      <c r="G47" s="293"/>
      <c r="H47" s="3"/>
      <c r="I47" s="312"/>
      <c r="J47" s="313"/>
      <c r="K47" s="313"/>
      <c r="L47" s="313"/>
      <c r="M47" s="313"/>
      <c r="N47" s="313"/>
      <c r="O47" s="313"/>
      <c r="P47" s="314"/>
      <c r="Q47" s="3"/>
      <c r="R47" s="3"/>
      <c r="S47" s="3"/>
      <c r="T47" s="6"/>
    </row>
    <row r="48" spans="2:20" ht="28.5" customHeight="1" x14ac:dyDescent="0.2">
      <c r="B48" s="48"/>
      <c r="C48" s="49"/>
      <c r="D48" s="49"/>
      <c r="E48" s="49"/>
      <c r="F48" s="304" t="str">
        <f>IF('Tab Calculs (protégés)'!S120="","",IF(E39&lt;&gt;0,IF(F47&gt;C29,"PROBLEME : PAROI TROP FINE",""),""))</f>
        <v/>
      </c>
      <c r="G48" s="304"/>
      <c r="H48" s="310" t="str">
        <f>IF(N48&lt;&gt;"", "Solution du Service technique","")</f>
        <v/>
      </c>
      <c r="I48" s="310"/>
      <c r="J48" s="310"/>
      <c r="K48" s="310"/>
      <c r="L48" s="310"/>
      <c r="M48" s="310"/>
      <c r="N48" s="307" t="str">
        <f>IFERROR(VLOOKUP(CONCATENATE(E39,C13),'Config difficile'!D5:E60,2,FALSE),"")</f>
        <v/>
      </c>
      <c r="O48" s="307"/>
      <c r="P48" s="144"/>
      <c r="Q48" s="3"/>
      <c r="R48" s="3"/>
      <c r="S48" s="3"/>
      <c r="T48" s="6"/>
    </row>
    <row r="49" spans="2:20" ht="16.5" thickBot="1" x14ac:dyDescent="0.3">
      <c r="B49" s="5"/>
      <c r="C49" s="3"/>
      <c r="D49" s="3"/>
      <c r="E49" s="3"/>
      <c r="G49" s="168"/>
      <c r="H49" s="166"/>
      <c r="I49" s="165"/>
      <c r="J49" s="166"/>
      <c r="K49" s="170"/>
      <c r="L49" s="170"/>
      <c r="M49" s="3"/>
      <c r="N49" s="3"/>
      <c r="O49" s="3"/>
      <c r="P49" s="3"/>
      <c r="Q49" s="3"/>
      <c r="R49" s="3"/>
      <c r="S49" s="3"/>
      <c r="T49" s="6"/>
    </row>
    <row r="50" spans="2:20" s="18" customFormat="1" ht="18.75" thickBot="1" x14ac:dyDescent="0.3">
      <c r="B50" s="321" t="s">
        <v>88</v>
      </c>
      <c r="C50" s="322"/>
      <c r="D50" s="104" t="str">
        <f>IF(E50="","",IF(OR(B46=615,B46=625,B46=700),"IS","IS ou IL"))</f>
        <v/>
      </c>
      <c r="E50" s="105" t="str">
        <f>IF(F48="",B46,"")</f>
        <v/>
      </c>
      <c r="F50" s="101" t="str">
        <f>IF(AND(F48="",G41=""),IF(AND(E39&gt;=D39,E39&lt;=D40,C13&lt;&gt;0,C29&lt;&gt;0),'Tab Calculs (protégés) (2,0)'!Z36,""),"")</f>
        <v/>
      </c>
      <c r="G50" s="102" t="s">
        <v>91</v>
      </c>
      <c r="H50" s="103"/>
      <c r="I50" s="103"/>
      <c r="J50" s="146"/>
      <c r="K50" s="146"/>
      <c r="L50" s="31" t="str">
        <f>IF(AND(F48="",G41=""),C47,"")</f>
        <v/>
      </c>
      <c r="M50" s="320" t="s">
        <v>30</v>
      </c>
      <c r="N50" s="320"/>
      <c r="O50" s="56" t="str">
        <f>F50</f>
        <v/>
      </c>
      <c r="P50" s="20"/>
      <c r="Q50" s="20"/>
      <c r="R50" s="20"/>
      <c r="S50" s="20"/>
      <c r="T50" s="37"/>
    </row>
    <row r="51" spans="2:20" s="18" customFormat="1" ht="18.75" thickBot="1" x14ac:dyDescent="0.3">
      <c r="B51" s="298" t="s">
        <v>29</v>
      </c>
      <c r="C51" s="299"/>
      <c r="D51" s="106" t="str">
        <f>IF(AND(F48="",G41=""),IF(AND(E39&gt;=D39,E39&lt;=D40,C13&lt;&gt;0,C29&lt;&gt;0),E39-(G38-L50)*2,""),"")</f>
        <v/>
      </c>
      <c r="E51" s="107" t="str">
        <f>IF(AND(F48="",G41=""),IF(AND(E39&gt;=D39,E39&lt;=D40,C13&lt;&gt;0,C29&lt;&gt;0),ROUNDDOWN(D51+2*(D47-L50),0),""),"")</f>
        <v/>
      </c>
      <c r="F51" s="228" t="s">
        <v>70</v>
      </c>
      <c r="G51" s="229"/>
      <c r="H51" s="319" t="str">
        <f>IF(B46="","",'Tab Calculs (protégés) (2,0)'!Y42)</f>
        <v/>
      </c>
      <c r="I51" s="261"/>
      <c r="J51" s="228" t="s">
        <v>77</v>
      </c>
      <c r="K51" s="229"/>
      <c r="L51" s="230" t="str">
        <f>IF(B46="","",O50*'Tab Calculs (protégés) (2,0)'!Y43)</f>
        <v/>
      </c>
      <c r="M51" s="231"/>
      <c r="N51" s="54"/>
      <c r="O51" s="55"/>
      <c r="P51" s="20"/>
      <c r="Q51" s="20"/>
      <c r="R51" s="20"/>
      <c r="S51" s="20"/>
      <c r="T51" s="37"/>
    </row>
    <row r="52" spans="2:20" s="18" customFormat="1" ht="18" x14ac:dyDescent="0.25">
      <c r="B52" s="36"/>
      <c r="C52" s="20"/>
      <c r="D52" s="20"/>
      <c r="E52" s="20"/>
      <c r="F52" s="20"/>
      <c r="G52" s="15"/>
      <c r="H52" s="16"/>
      <c r="I52" s="17"/>
      <c r="J52" s="16"/>
      <c r="K52" s="20"/>
      <c r="L52" s="20"/>
      <c r="M52" s="20"/>
      <c r="N52" s="20"/>
      <c r="O52" s="20"/>
      <c r="P52" s="20"/>
      <c r="Q52" s="20"/>
      <c r="R52" s="20"/>
      <c r="S52" s="20"/>
      <c r="T52" s="37"/>
    </row>
    <row r="53" spans="2:20" ht="13.5" thickBot="1" x14ac:dyDescent="0.25">
      <c r="B53" s="14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9"/>
    </row>
    <row r="58" spans="2:20" ht="12.75" customHeight="1" x14ac:dyDescent="0.2"/>
    <row r="59" spans="2:20" ht="12.75" customHeight="1" x14ac:dyDescent="0.2"/>
    <row r="60" spans="2:20" ht="12.75" customHeight="1" x14ac:dyDescent="0.2"/>
    <row r="69" ht="12.75" customHeight="1" x14ac:dyDescent="0.2"/>
    <row r="70" ht="12.75" customHeight="1" x14ac:dyDescent="0.2"/>
    <row r="86" ht="12.75" customHeight="1" x14ac:dyDescent="0.2"/>
    <row r="87" ht="12.75" customHeight="1" x14ac:dyDescent="0.2"/>
    <row r="119" spans="15:15" x14ac:dyDescent="0.2">
      <c r="O119" s="3"/>
    </row>
  </sheetData>
  <sheetProtection password="CAAB" sheet="1" objects="1" scenarios="1" selectLockedCells="1"/>
  <protectedRanges>
    <protectedRange sqref="C13 C29 E39:F40" name="Plage1"/>
  </protectedRanges>
  <mergeCells count="49">
    <mergeCell ref="Q2:T3"/>
    <mergeCell ref="G3:M4"/>
    <mergeCell ref="J6:S6"/>
    <mergeCell ref="J8:S9"/>
    <mergeCell ref="B10:C11"/>
    <mergeCell ref="J10:N11"/>
    <mergeCell ref="O10:P11"/>
    <mergeCell ref="Q10:S11"/>
    <mergeCell ref="J25:S25"/>
    <mergeCell ref="J13:S14"/>
    <mergeCell ref="H15:H17"/>
    <mergeCell ref="J15:S16"/>
    <mergeCell ref="J17:O18"/>
    <mergeCell ref="P17:P18"/>
    <mergeCell ref="Q17:R18"/>
    <mergeCell ref="S17:S18"/>
    <mergeCell ref="J19:S21"/>
    <mergeCell ref="L22:M23"/>
    <mergeCell ref="N22:N23"/>
    <mergeCell ref="O22:O23"/>
    <mergeCell ref="J24:S24"/>
    <mergeCell ref="B26:C27"/>
    <mergeCell ref="J26:S26"/>
    <mergeCell ref="K28:S28"/>
    <mergeCell ref="E34:F36"/>
    <mergeCell ref="C37:D38"/>
    <mergeCell ref="E37:F38"/>
    <mergeCell ref="G37:I37"/>
    <mergeCell ref="G38:I38"/>
    <mergeCell ref="C45:D45"/>
    <mergeCell ref="F45:G45"/>
    <mergeCell ref="I45:P47"/>
    <mergeCell ref="F46:G46"/>
    <mergeCell ref="F47:G47"/>
    <mergeCell ref="B39:B40"/>
    <mergeCell ref="E39:F40"/>
    <mergeCell ref="G39:I40"/>
    <mergeCell ref="E41:F41"/>
    <mergeCell ref="B44:C44"/>
    <mergeCell ref="F48:G48"/>
    <mergeCell ref="B50:C50"/>
    <mergeCell ref="M50:N50"/>
    <mergeCell ref="B51:C51"/>
    <mergeCell ref="F51:G51"/>
    <mergeCell ref="H51:I51"/>
    <mergeCell ref="J51:K51"/>
    <mergeCell ref="L51:M51"/>
    <mergeCell ref="N48:O48"/>
    <mergeCell ref="H48:M48"/>
  </mergeCells>
  <conditionalFormatting sqref="J13:S14">
    <cfRule type="expression" dxfId="5" priority="1" stopIfTrue="1">
      <formula>$C$13=0</formula>
    </cfRule>
  </conditionalFormatting>
  <conditionalFormatting sqref="J15:S16">
    <cfRule type="expression" dxfId="4" priority="2" stopIfTrue="1">
      <formula>$J$15&lt;&gt;""</formula>
    </cfRule>
  </conditionalFormatting>
  <conditionalFormatting sqref="J17:S18">
    <cfRule type="expression" dxfId="3" priority="3" stopIfTrue="1">
      <formula>$J$17&lt;&gt;""</formula>
    </cfRule>
  </conditionalFormatting>
  <conditionalFormatting sqref="J19:S21">
    <cfRule type="expression" dxfId="2" priority="4" stopIfTrue="1">
      <formula>$J$19&lt;&gt;""</formula>
    </cfRule>
  </conditionalFormatting>
  <conditionalFormatting sqref="J23:K23 J22:L22 N22:S23">
    <cfRule type="expression" dxfId="1" priority="5" stopIfTrue="1">
      <formula>$L$22&lt;&gt;""</formula>
    </cfRule>
  </conditionalFormatting>
  <pageMargins left="0.27559055118110237" right="0.27559055118110237" top="0.35433070866141736" bottom="0.39370078740157483" header="0.19685039370078741" footer="0.19685039370078741"/>
  <pageSetup paperSize="9" scale="42" orientation="landscape" verticalDpi="300" r:id="rId1"/>
  <headerFooter alignWithMargins="0">
    <oddHeader>&amp;LNORHAM&amp;CFeuille de calcul INNERLYNX&amp;R&amp;D</oddHeader>
    <oddFooter>&amp;LDoc réalisé et imprimé le : &amp;D&amp;R&amp;Z&amp;F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K137"/>
  <sheetViews>
    <sheetView topLeftCell="R1" zoomScale="115" zoomScaleNormal="115" workbookViewId="0">
      <selection activeCell="AH5" sqref="AH5:AI5"/>
    </sheetView>
  </sheetViews>
  <sheetFormatPr baseColWidth="10" defaultRowHeight="12.75" x14ac:dyDescent="0.2"/>
  <cols>
    <col min="1" max="1" width="19.7109375" customWidth="1"/>
    <col min="6" max="6" width="13" bestFit="1" customWidth="1"/>
    <col min="17" max="17" width="12.5703125" bestFit="1" customWidth="1"/>
    <col min="23" max="23" width="15.42578125" customWidth="1"/>
  </cols>
  <sheetData>
    <row r="1" spans="1:37" x14ac:dyDescent="0.2">
      <c r="O1" s="181"/>
      <c r="P1" s="149"/>
      <c r="Q1" s="149"/>
      <c r="R1" s="149"/>
      <c r="S1" s="149"/>
      <c r="T1" s="149"/>
      <c r="U1" s="149"/>
      <c r="V1" s="149"/>
      <c r="W1" s="350" t="s">
        <v>130</v>
      </c>
      <c r="X1" s="355"/>
      <c r="Y1" s="355"/>
      <c r="Z1" s="355"/>
      <c r="AA1" s="355"/>
      <c r="AB1" s="149"/>
      <c r="AC1" s="149"/>
      <c r="AD1" s="149"/>
      <c r="AE1" s="149"/>
      <c r="AF1" s="149"/>
      <c r="AG1" s="149"/>
      <c r="AH1" s="149"/>
      <c r="AI1" s="149"/>
      <c r="AJ1" s="149"/>
      <c r="AK1" s="150"/>
    </row>
    <row r="2" spans="1:37" ht="25.5" customHeight="1" thickBot="1" x14ac:dyDescent="0.25">
      <c r="O2" s="15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152"/>
    </row>
    <row r="3" spans="1:37" ht="12" customHeight="1" thickBot="1" x14ac:dyDescent="0.25">
      <c r="O3" s="151"/>
      <c r="P3" s="41"/>
      <c r="Q3" s="41"/>
      <c r="R3" s="352" t="s">
        <v>101</v>
      </c>
      <c r="S3" s="355"/>
      <c r="T3" s="355"/>
      <c r="U3" s="355"/>
      <c r="V3" s="355"/>
      <c r="W3" s="355"/>
      <c r="X3" s="355"/>
      <c r="Y3" s="355"/>
      <c r="Z3" s="355"/>
      <c r="AA3" s="149"/>
      <c r="AB3" s="149"/>
      <c r="AC3" s="149"/>
      <c r="AD3" s="149"/>
      <c r="AE3" s="149"/>
      <c r="AF3" s="150"/>
      <c r="AG3" s="41"/>
      <c r="AH3" s="41"/>
      <c r="AI3" s="41"/>
      <c r="AJ3" s="41"/>
      <c r="AK3" s="152"/>
    </row>
    <row r="4" spans="1:37" ht="13.5" thickBot="1" x14ac:dyDescent="0.25">
      <c r="O4" s="151"/>
      <c r="P4" s="41"/>
      <c r="Q4" s="41"/>
      <c r="R4" s="151"/>
      <c r="S4" s="352" t="s">
        <v>102</v>
      </c>
      <c r="T4" s="351"/>
      <c r="U4" s="185" t="s">
        <v>110</v>
      </c>
      <c r="V4" s="185" t="s">
        <v>113</v>
      </c>
      <c r="W4" s="352" t="s">
        <v>114</v>
      </c>
      <c r="X4" s="350"/>
      <c r="Y4" s="350"/>
      <c r="Z4" s="350"/>
      <c r="AA4" s="350"/>
      <c r="AB4" s="149"/>
      <c r="AC4" s="150"/>
      <c r="AD4" s="198" t="s">
        <v>128</v>
      </c>
      <c r="AE4" s="350" t="s">
        <v>122</v>
      </c>
      <c r="AF4" s="351"/>
      <c r="AG4" s="41"/>
      <c r="AH4" s="199" t="s">
        <v>127</v>
      </c>
      <c r="AI4" s="200">
        <v>1</v>
      </c>
      <c r="AJ4" s="41"/>
      <c r="AK4" s="152"/>
    </row>
    <row r="5" spans="1:37" s="124" customFormat="1" ht="24" customHeight="1" thickBot="1" x14ac:dyDescent="0.25">
      <c r="A5" s="123" t="s">
        <v>38</v>
      </c>
      <c r="C5" s="333" t="s">
        <v>84</v>
      </c>
      <c r="D5" s="334"/>
      <c r="E5" s="148" t="s">
        <v>79</v>
      </c>
      <c r="G5" s="148" t="s">
        <v>85</v>
      </c>
      <c r="H5" s="328" t="s">
        <v>86</v>
      </c>
      <c r="I5" s="329"/>
      <c r="K5" s="334" t="s">
        <v>74</v>
      </c>
      <c r="L5" s="337"/>
      <c r="O5" s="353" t="s">
        <v>104</v>
      </c>
      <c r="P5" s="354"/>
      <c r="Q5" s="201"/>
      <c r="R5" s="178"/>
      <c r="S5" s="186" t="s">
        <v>103</v>
      </c>
      <c r="T5" s="186" t="s">
        <v>126</v>
      </c>
      <c r="U5" s="186" t="s">
        <v>111</v>
      </c>
      <c r="V5" s="186" t="s">
        <v>112</v>
      </c>
      <c r="W5" s="188" t="s">
        <v>115</v>
      </c>
      <c r="X5" s="179" t="s">
        <v>116</v>
      </c>
      <c r="Y5" s="179" t="s">
        <v>117</v>
      </c>
      <c r="Z5" s="179" t="s">
        <v>118</v>
      </c>
      <c r="AA5" s="179" t="s">
        <v>119</v>
      </c>
      <c r="AB5" s="179" t="s">
        <v>120</v>
      </c>
      <c r="AC5" s="180" t="s">
        <v>121</v>
      </c>
      <c r="AD5" s="186" t="s">
        <v>129</v>
      </c>
      <c r="AE5" s="197" t="s">
        <v>123</v>
      </c>
      <c r="AF5" s="189" t="s">
        <v>124</v>
      </c>
      <c r="AG5" s="184" t="s">
        <v>125</v>
      </c>
      <c r="AH5" s="353" t="s">
        <v>133</v>
      </c>
      <c r="AI5" s="354"/>
      <c r="AJ5" s="203">
        <f>MIN(AH7:AH28)</f>
        <v>0</v>
      </c>
      <c r="AK5" s="180" t="s">
        <v>131</v>
      </c>
    </row>
    <row r="6" spans="1:37" ht="13.5" thickBot="1" x14ac:dyDescent="0.25">
      <c r="B6" s="82" t="s">
        <v>37</v>
      </c>
      <c r="C6" s="1" t="s">
        <v>1</v>
      </c>
      <c r="D6" s="30" t="s">
        <v>2</v>
      </c>
      <c r="E6" s="108" t="s">
        <v>3</v>
      </c>
      <c r="F6" s="71" t="s">
        <v>35</v>
      </c>
      <c r="G6" s="108" t="s">
        <v>3</v>
      </c>
      <c r="H6" s="79" t="s">
        <v>1</v>
      </c>
      <c r="I6" s="69" t="s">
        <v>2</v>
      </c>
      <c r="J6" s="79" t="s">
        <v>67</v>
      </c>
      <c r="K6" s="1" t="s">
        <v>75</v>
      </c>
      <c r="L6" s="111" t="s">
        <v>76</v>
      </c>
      <c r="N6" s="216" t="s">
        <v>236</v>
      </c>
      <c r="O6" s="172" t="s">
        <v>105</v>
      </c>
      <c r="P6" s="174">
        <f>'Calcul IL (2,0)'!E39</f>
        <v>0</v>
      </c>
      <c r="Q6" s="41"/>
      <c r="R6" s="181"/>
      <c r="S6" s="187"/>
      <c r="T6" s="187"/>
      <c r="U6" s="187"/>
      <c r="V6" s="187"/>
      <c r="W6" s="181"/>
      <c r="X6" s="149"/>
      <c r="Y6" s="149"/>
      <c r="Z6" s="149"/>
      <c r="AA6" s="149"/>
      <c r="AB6" s="149"/>
      <c r="AC6" s="150"/>
      <c r="AD6" s="187"/>
      <c r="AE6" s="149"/>
      <c r="AF6" s="150"/>
      <c r="AG6" s="182"/>
      <c r="AH6" s="151"/>
      <c r="AI6" s="152"/>
      <c r="AJ6" s="41"/>
      <c r="AK6" s="152"/>
    </row>
    <row r="7" spans="1:37" ht="13.5" thickBot="1" x14ac:dyDescent="0.25">
      <c r="B7" s="81">
        <v>100</v>
      </c>
      <c r="C7" s="109">
        <v>9</v>
      </c>
      <c r="D7" s="109">
        <v>12.5</v>
      </c>
      <c r="E7" s="110">
        <v>31</v>
      </c>
      <c r="F7" s="115">
        <v>4</v>
      </c>
      <c r="G7" s="110">
        <v>60</v>
      </c>
      <c r="H7" s="112">
        <v>27</v>
      </c>
      <c r="I7" s="113">
        <v>219</v>
      </c>
      <c r="J7" s="112">
        <v>1</v>
      </c>
      <c r="K7" s="111">
        <v>0.05</v>
      </c>
      <c r="L7" s="114">
        <f>0.4531*K7</f>
        <v>2.2655000000000002E-2</v>
      </c>
      <c r="M7" s="84" t="s">
        <v>89</v>
      </c>
      <c r="N7">
        <v>45</v>
      </c>
      <c r="O7" s="172" t="s">
        <v>106</v>
      </c>
      <c r="P7" s="152">
        <f>'Calcul IL (2,0)'!C13</f>
        <v>0</v>
      </c>
      <c r="Q7" s="41"/>
      <c r="R7" s="190">
        <f>B7</f>
        <v>100</v>
      </c>
      <c r="S7" s="187">
        <f>IF(AND($P$9&gt;=C7,$P$9&lt;=D7),1,0)</f>
        <v>0</v>
      </c>
      <c r="T7" s="195">
        <f>C7</f>
        <v>9</v>
      </c>
      <c r="U7" s="187">
        <f>IF(AND($P$7&gt;=H7,$P$7&lt;=I7),1,0)</f>
        <v>0</v>
      </c>
      <c r="V7" s="187">
        <f>IF($P$8&gt;=G7,1,0)</f>
        <v>0</v>
      </c>
      <c r="W7" s="181">
        <f>$P$11/E7</f>
        <v>0</v>
      </c>
      <c r="X7" s="149">
        <f>(INT(W7))</f>
        <v>0</v>
      </c>
      <c r="Y7" s="149">
        <f>W7-X7</f>
        <v>0</v>
      </c>
      <c r="Z7" s="149">
        <f>IF(Y7&gt;=0.5,X7+1,X7)</f>
        <v>0</v>
      </c>
      <c r="AA7" s="149">
        <f>Z7*E7</f>
        <v>0</v>
      </c>
      <c r="AB7" s="149">
        <f>AA7/3.14+C7</f>
        <v>9</v>
      </c>
      <c r="AC7" s="150">
        <f>IF(AB7&lt;$P$6,1,0)</f>
        <v>0</v>
      </c>
      <c r="AD7" s="187">
        <f>IF(Z7&gt;=F7,1,0)</f>
        <v>0</v>
      </c>
      <c r="AE7" s="149">
        <f>SUM(S7,U7:V7,AC7:AD7)</f>
        <v>0</v>
      </c>
      <c r="AF7" s="150" t="str">
        <f>IF(AE7=5,1,"")</f>
        <v/>
      </c>
      <c r="AG7" s="187" t="str">
        <f>IF(AF7=1,B7&amp;"E"&amp;Z7,"")</f>
        <v/>
      </c>
      <c r="AH7" s="181" t="str">
        <f>IF(AG7="","",IF($P$9-T7&lt;=$AI$4,"",$P$9-T7))</f>
        <v/>
      </c>
      <c r="AI7" s="150" t="str">
        <f>IF(AH7=$AJ$5,AG7,"")</f>
        <v/>
      </c>
      <c r="AJ7" s="187" t="str">
        <f>IF(AI7="","",R7)</f>
        <v/>
      </c>
      <c r="AK7" s="187" t="str">
        <f>IF(AJ7="","",Z7)</f>
        <v/>
      </c>
    </row>
    <row r="8" spans="1:37" s="116" customFormat="1" ht="13.5" thickBot="1" x14ac:dyDescent="0.25">
      <c r="B8" s="117">
        <v>200</v>
      </c>
      <c r="C8" s="118">
        <v>12.5</v>
      </c>
      <c r="D8" s="39">
        <v>15.7</v>
      </c>
      <c r="E8" s="119">
        <v>30</v>
      </c>
      <c r="F8" s="120">
        <v>4</v>
      </c>
      <c r="G8" s="119">
        <v>63</v>
      </c>
      <c r="H8" s="121">
        <v>21</v>
      </c>
      <c r="I8" s="70">
        <v>324</v>
      </c>
      <c r="J8" s="121">
        <v>1</v>
      </c>
      <c r="K8" s="23">
        <v>0.05</v>
      </c>
      <c r="L8" s="114">
        <f>0.4531*K8</f>
        <v>2.2655000000000002E-2</v>
      </c>
      <c r="N8">
        <v>45</v>
      </c>
      <c r="O8" s="173" t="s">
        <v>8</v>
      </c>
      <c r="P8" s="171">
        <f>'Calcul IL (2,0)'!C29</f>
        <v>0</v>
      </c>
      <c r="Q8" s="202"/>
      <c r="R8" s="190">
        <f t="shared" ref="R8:R28" si="0">B8</f>
        <v>200</v>
      </c>
      <c r="S8" s="182">
        <f t="shared" ref="S8:S28" si="1">IF(AND($P$9&gt;=C8,$P$9&lt;=D8),1,0)</f>
        <v>0</v>
      </c>
      <c r="T8" s="182">
        <f t="shared" ref="T8:T28" si="2">C8</f>
        <v>12.5</v>
      </c>
      <c r="U8" s="182">
        <f t="shared" ref="U8:U28" si="3">IF(AND($P$7&gt;=H8,$P$7&lt;=I8),1,0)</f>
        <v>0</v>
      </c>
      <c r="V8" s="182">
        <f t="shared" ref="V8:V28" si="4">IF($P$8&gt;=G8,1,0)</f>
        <v>0</v>
      </c>
      <c r="W8" s="151">
        <f t="shared" ref="W8:W28" si="5">$P$11/E8</f>
        <v>0</v>
      </c>
      <c r="X8" s="41">
        <f t="shared" ref="X8:X28" si="6">(INT(W8))</f>
        <v>0</v>
      </c>
      <c r="Y8" s="41">
        <f t="shared" ref="Y8:Y28" si="7">W8-X8</f>
        <v>0</v>
      </c>
      <c r="Z8" s="41">
        <f>IF(Y8&gt;=0.5,X8+1,X8)</f>
        <v>0</v>
      </c>
      <c r="AA8" s="41">
        <f t="shared" ref="AA8:AA28" si="8">Z8*E8</f>
        <v>0</v>
      </c>
      <c r="AB8" s="41">
        <f t="shared" ref="AB8:AB28" si="9">AA8/3.14+C8</f>
        <v>12.5</v>
      </c>
      <c r="AC8" s="152">
        <f t="shared" ref="AC8:AC28" si="10">IF(AB8&lt;$P$6,1,0)</f>
        <v>0</v>
      </c>
      <c r="AD8" s="182">
        <f t="shared" ref="AD8:AD28" si="11">IF(Z8&gt;=F8,1,0)</f>
        <v>0</v>
      </c>
      <c r="AE8" s="41">
        <f t="shared" ref="AE8:AE28" si="12">SUM(S8,U8:V8,AC8:AD8)</f>
        <v>0</v>
      </c>
      <c r="AF8" s="152" t="str">
        <f t="shared" ref="AF8:AF28" si="13">IF(AE8=5,1,"")</f>
        <v/>
      </c>
      <c r="AG8" s="182" t="str">
        <f t="shared" ref="AG8:AG28" si="14">IF(AF8=1,B8&amp;"E"&amp;Z8,"")</f>
        <v/>
      </c>
      <c r="AH8" s="151" t="str">
        <f>IF(AG8="","",IF($P$9-T8&lt;$AI$4,"",$P$9-T8))</f>
        <v/>
      </c>
      <c r="AI8" s="152" t="str">
        <f t="shared" ref="AI8:AI28" si="15">IF(AH8=$AJ$5,AG8,"")</f>
        <v/>
      </c>
      <c r="AJ8" s="204" t="str">
        <f t="shared" ref="AJ8:AJ28" si="16">IF(AI8="","",R8)</f>
        <v/>
      </c>
      <c r="AK8" s="196" t="str">
        <f t="shared" ref="AK8:AK28" si="17">IF(AJ8="","",Z8)</f>
        <v/>
      </c>
    </row>
    <row r="9" spans="1:37" ht="13.5" thickBot="1" x14ac:dyDescent="0.25">
      <c r="B9" s="122">
        <v>265</v>
      </c>
      <c r="C9" s="38">
        <v>16</v>
      </c>
      <c r="D9" s="39">
        <v>20</v>
      </c>
      <c r="E9" s="19">
        <v>41</v>
      </c>
      <c r="F9" s="72">
        <v>5</v>
      </c>
      <c r="G9" s="19">
        <v>63</v>
      </c>
      <c r="H9" s="80">
        <v>50</v>
      </c>
      <c r="I9" s="70">
        <v>406</v>
      </c>
      <c r="J9" s="80">
        <v>1</v>
      </c>
      <c r="K9" s="1">
        <v>0.1</v>
      </c>
      <c r="L9" s="114">
        <f t="shared" ref="L9:L25" si="18">0.4531*K9</f>
        <v>4.5310000000000003E-2</v>
      </c>
      <c r="N9">
        <v>45</v>
      </c>
      <c r="O9" s="175" t="s">
        <v>107</v>
      </c>
      <c r="P9" s="150">
        <f>(P6-P7)/2</f>
        <v>0</v>
      </c>
      <c r="Q9" s="41"/>
      <c r="R9" s="190">
        <f t="shared" si="0"/>
        <v>265</v>
      </c>
      <c r="S9" s="182">
        <f t="shared" si="1"/>
        <v>0</v>
      </c>
      <c r="T9" s="182">
        <f t="shared" si="2"/>
        <v>16</v>
      </c>
      <c r="U9" s="182">
        <f t="shared" si="3"/>
        <v>0</v>
      </c>
      <c r="V9" s="182">
        <f t="shared" si="4"/>
        <v>0</v>
      </c>
      <c r="W9" s="151">
        <f t="shared" si="5"/>
        <v>0</v>
      </c>
      <c r="X9" s="41">
        <f t="shared" si="6"/>
        <v>0</v>
      </c>
      <c r="Y9" s="41">
        <f t="shared" si="7"/>
        <v>0</v>
      </c>
      <c r="Z9" s="41">
        <f t="shared" ref="Z9:Z28" si="19">IF(Y9&gt;=0.5,X9+1,X9)</f>
        <v>0</v>
      </c>
      <c r="AA9" s="41">
        <f t="shared" si="8"/>
        <v>0</v>
      </c>
      <c r="AB9" s="41">
        <f t="shared" si="9"/>
        <v>16</v>
      </c>
      <c r="AC9" s="152">
        <f t="shared" si="10"/>
        <v>0</v>
      </c>
      <c r="AD9" s="182">
        <f t="shared" si="11"/>
        <v>0</v>
      </c>
      <c r="AE9" s="41">
        <f t="shared" si="12"/>
        <v>0</v>
      </c>
      <c r="AF9" s="152" t="str">
        <f t="shared" si="13"/>
        <v/>
      </c>
      <c r="AG9" s="182" t="str">
        <f t="shared" si="14"/>
        <v/>
      </c>
      <c r="AH9" s="151" t="str">
        <f>IF(AG9="","",IF($P$9-T9&lt;$AI$4,"",$P$9-T9))</f>
        <v/>
      </c>
      <c r="AI9" s="152" t="str">
        <f t="shared" si="15"/>
        <v/>
      </c>
      <c r="AJ9" s="182" t="str">
        <f t="shared" si="16"/>
        <v/>
      </c>
      <c r="AK9" s="152" t="str">
        <f t="shared" si="17"/>
        <v/>
      </c>
    </row>
    <row r="10" spans="1:37" ht="13.5" thickBot="1" x14ac:dyDescent="0.25">
      <c r="B10" s="117">
        <v>275</v>
      </c>
      <c r="C10" s="38">
        <v>16</v>
      </c>
      <c r="D10" s="39">
        <v>20</v>
      </c>
      <c r="E10" s="19">
        <v>26</v>
      </c>
      <c r="F10" s="68">
        <v>4</v>
      </c>
      <c r="G10" s="19">
        <v>63</v>
      </c>
      <c r="H10" s="80">
        <v>13</v>
      </c>
      <c r="I10" s="70">
        <v>90</v>
      </c>
      <c r="J10" s="80">
        <v>1</v>
      </c>
      <c r="K10" s="1">
        <v>0.05</v>
      </c>
      <c r="L10" s="114">
        <f t="shared" si="18"/>
        <v>2.2655000000000002E-2</v>
      </c>
      <c r="N10">
        <v>45</v>
      </c>
      <c r="O10" s="176" t="s">
        <v>108</v>
      </c>
      <c r="P10" s="152">
        <f>(P6+P7)/2</f>
        <v>0</v>
      </c>
      <c r="Q10" s="41"/>
      <c r="R10" s="190">
        <f t="shared" si="0"/>
        <v>275</v>
      </c>
      <c r="S10" s="182">
        <f t="shared" si="1"/>
        <v>0</v>
      </c>
      <c r="T10" s="182">
        <f t="shared" si="2"/>
        <v>16</v>
      </c>
      <c r="U10" s="182">
        <f t="shared" si="3"/>
        <v>0</v>
      </c>
      <c r="V10" s="182">
        <f t="shared" si="4"/>
        <v>0</v>
      </c>
      <c r="W10" s="151">
        <f t="shared" si="5"/>
        <v>0</v>
      </c>
      <c r="X10" s="41">
        <f t="shared" si="6"/>
        <v>0</v>
      </c>
      <c r="Y10" s="41">
        <f t="shared" si="7"/>
        <v>0</v>
      </c>
      <c r="Z10" s="41">
        <f t="shared" si="19"/>
        <v>0</v>
      </c>
      <c r="AA10" s="41">
        <f t="shared" si="8"/>
        <v>0</v>
      </c>
      <c r="AB10" s="41">
        <f t="shared" si="9"/>
        <v>16</v>
      </c>
      <c r="AC10" s="152">
        <f t="shared" si="10"/>
        <v>0</v>
      </c>
      <c r="AD10" s="182">
        <f t="shared" si="11"/>
        <v>0</v>
      </c>
      <c r="AE10" s="41">
        <f t="shared" si="12"/>
        <v>0</v>
      </c>
      <c r="AF10" s="152" t="str">
        <f t="shared" si="13"/>
        <v/>
      </c>
      <c r="AG10" s="182" t="str">
        <f t="shared" si="14"/>
        <v/>
      </c>
      <c r="AH10" s="151" t="str">
        <f>IF(AG10="","",IF($P$9-T10&lt;$AI$4,"",$P$9-T10))</f>
        <v/>
      </c>
      <c r="AI10" s="152" t="str">
        <f t="shared" si="15"/>
        <v/>
      </c>
      <c r="AJ10" s="182" t="str">
        <f t="shared" si="16"/>
        <v/>
      </c>
      <c r="AK10" s="152" t="str">
        <f t="shared" si="17"/>
        <v/>
      </c>
    </row>
    <row r="11" spans="1:37" ht="13.5" thickBot="1" x14ac:dyDescent="0.25">
      <c r="B11" s="117">
        <v>300</v>
      </c>
      <c r="C11" s="38">
        <v>18</v>
      </c>
      <c r="D11" s="39">
        <v>22.5</v>
      </c>
      <c r="E11" s="19">
        <v>41</v>
      </c>
      <c r="F11" s="67">
        <v>5</v>
      </c>
      <c r="G11" s="19">
        <v>90</v>
      </c>
      <c r="H11" s="80">
        <v>45</v>
      </c>
      <c r="I11" s="70">
        <v>273</v>
      </c>
      <c r="J11" s="80">
        <v>4</v>
      </c>
      <c r="K11" s="1">
        <v>0.2</v>
      </c>
      <c r="L11" s="114">
        <f t="shared" si="18"/>
        <v>9.0620000000000006E-2</v>
      </c>
      <c r="N11">
        <v>65</v>
      </c>
      <c r="O11" s="173" t="s">
        <v>109</v>
      </c>
      <c r="P11" s="177">
        <f>P10*3.14</f>
        <v>0</v>
      </c>
      <c r="Q11" s="41"/>
      <c r="R11" s="190">
        <f t="shared" si="0"/>
        <v>300</v>
      </c>
      <c r="S11" s="182">
        <f t="shared" si="1"/>
        <v>0</v>
      </c>
      <c r="T11" s="182">
        <f t="shared" si="2"/>
        <v>18</v>
      </c>
      <c r="U11" s="182">
        <f t="shared" si="3"/>
        <v>0</v>
      </c>
      <c r="V11" s="182">
        <f t="shared" si="4"/>
        <v>0</v>
      </c>
      <c r="W11" s="151">
        <f t="shared" si="5"/>
        <v>0</v>
      </c>
      <c r="X11" s="41">
        <f t="shared" si="6"/>
        <v>0</v>
      </c>
      <c r="Y11" s="41">
        <f t="shared" si="7"/>
        <v>0</v>
      </c>
      <c r="Z11" s="41">
        <f t="shared" si="19"/>
        <v>0</v>
      </c>
      <c r="AA11" s="41">
        <f t="shared" si="8"/>
        <v>0</v>
      </c>
      <c r="AB11" s="41">
        <f t="shared" si="9"/>
        <v>18</v>
      </c>
      <c r="AC11" s="152">
        <f t="shared" si="10"/>
        <v>0</v>
      </c>
      <c r="AD11" s="182">
        <f t="shared" si="11"/>
        <v>0</v>
      </c>
      <c r="AE11" s="41">
        <f t="shared" si="12"/>
        <v>0</v>
      </c>
      <c r="AF11" s="152" t="str">
        <f t="shared" si="13"/>
        <v/>
      </c>
      <c r="AG11" s="182" t="str">
        <f t="shared" si="14"/>
        <v/>
      </c>
      <c r="AH11" s="151" t="str">
        <f t="shared" ref="AH11:AH28" si="20">IF(AG11="","",IF($P$9-T11&lt;$AI$4,"",$P$9-T11))</f>
        <v/>
      </c>
      <c r="AI11" s="152" t="str">
        <f t="shared" si="15"/>
        <v/>
      </c>
      <c r="AJ11" s="182" t="str">
        <f t="shared" si="16"/>
        <v/>
      </c>
      <c r="AK11" s="152" t="str">
        <f t="shared" si="17"/>
        <v/>
      </c>
    </row>
    <row r="12" spans="1:37" ht="13.5" thickBot="1" x14ac:dyDescent="0.25">
      <c r="B12" s="117">
        <v>310</v>
      </c>
      <c r="C12" s="38">
        <v>18</v>
      </c>
      <c r="D12" s="39">
        <v>22.5</v>
      </c>
      <c r="E12" s="19">
        <v>57</v>
      </c>
      <c r="F12" s="67">
        <v>5</v>
      </c>
      <c r="G12" s="19">
        <v>90</v>
      </c>
      <c r="H12" s="80">
        <v>60</v>
      </c>
      <c r="I12" s="70">
        <v>406</v>
      </c>
      <c r="J12" s="80">
        <v>4</v>
      </c>
      <c r="K12" s="1">
        <v>0.22</v>
      </c>
      <c r="L12" s="114">
        <f t="shared" si="18"/>
        <v>9.9682000000000007E-2</v>
      </c>
      <c r="N12">
        <v>65</v>
      </c>
      <c r="O12" s="151"/>
      <c r="P12" s="41"/>
      <c r="Q12" s="41"/>
      <c r="R12" s="190">
        <f t="shared" si="0"/>
        <v>310</v>
      </c>
      <c r="S12" s="182">
        <f t="shared" si="1"/>
        <v>0</v>
      </c>
      <c r="T12" s="182">
        <f t="shared" si="2"/>
        <v>18</v>
      </c>
      <c r="U12" s="182">
        <f t="shared" si="3"/>
        <v>0</v>
      </c>
      <c r="V12" s="182">
        <f t="shared" si="4"/>
        <v>0</v>
      </c>
      <c r="W12" s="151">
        <f t="shared" si="5"/>
        <v>0</v>
      </c>
      <c r="X12" s="41">
        <f t="shared" si="6"/>
        <v>0</v>
      </c>
      <c r="Y12" s="41">
        <f t="shared" si="7"/>
        <v>0</v>
      </c>
      <c r="Z12" s="41">
        <f t="shared" si="19"/>
        <v>0</v>
      </c>
      <c r="AA12" s="41">
        <f t="shared" si="8"/>
        <v>0</v>
      </c>
      <c r="AB12" s="41">
        <f t="shared" si="9"/>
        <v>18</v>
      </c>
      <c r="AC12" s="152">
        <f t="shared" si="10"/>
        <v>0</v>
      </c>
      <c r="AD12" s="182">
        <f t="shared" si="11"/>
        <v>0</v>
      </c>
      <c r="AE12" s="41">
        <f t="shared" si="12"/>
        <v>0</v>
      </c>
      <c r="AF12" s="152" t="str">
        <f t="shared" si="13"/>
        <v/>
      </c>
      <c r="AG12" s="182" t="str">
        <f t="shared" si="14"/>
        <v/>
      </c>
      <c r="AH12" s="151" t="str">
        <f>IF(AG12="","",IF($P$9-T12&lt;$AI$4,"",$P$9-T12))</f>
        <v/>
      </c>
      <c r="AI12" s="152" t="str">
        <f t="shared" si="15"/>
        <v/>
      </c>
      <c r="AJ12" s="182" t="str">
        <f t="shared" si="16"/>
        <v/>
      </c>
      <c r="AK12" s="152" t="str">
        <f t="shared" si="17"/>
        <v/>
      </c>
    </row>
    <row r="13" spans="1:37" ht="13.5" thickBot="1" x14ac:dyDescent="0.25">
      <c r="B13" s="117">
        <v>315</v>
      </c>
      <c r="C13" s="38">
        <v>21.1</v>
      </c>
      <c r="D13" s="39">
        <v>26</v>
      </c>
      <c r="E13" s="19">
        <v>38</v>
      </c>
      <c r="F13" s="67">
        <v>5</v>
      </c>
      <c r="G13" s="19">
        <v>90</v>
      </c>
      <c r="H13" s="80">
        <v>37</v>
      </c>
      <c r="I13" s="70">
        <v>324</v>
      </c>
      <c r="J13" s="80">
        <v>4</v>
      </c>
      <c r="K13" s="1">
        <v>0.25</v>
      </c>
      <c r="L13" s="114">
        <f t="shared" si="18"/>
        <v>0.113275</v>
      </c>
      <c r="N13">
        <v>65</v>
      </c>
      <c r="O13" s="151"/>
      <c r="P13" s="41"/>
      <c r="Q13" s="41"/>
      <c r="R13" s="190">
        <f t="shared" si="0"/>
        <v>315</v>
      </c>
      <c r="S13" s="182">
        <f t="shared" si="1"/>
        <v>0</v>
      </c>
      <c r="T13" s="182">
        <f t="shared" si="2"/>
        <v>21.1</v>
      </c>
      <c r="U13" s="182">
        <f>IF(AND($P$7&gt;=H13,$P$7&lt;=I13),1,0)</f>
        <v>0</v>
      </c>
      <c r="V13" s="182">
        <f t="shared" si="4"/>
        <v>0</v>
      </c>
      <c r="W13" s="151">
        <f>$P$11/E13</f>
        <v>0</v>
      </c>
      <c r="X13" s="41">
        <f t="shared" si="6"/>
        <v>0</v>
      </c>
      <c r="Y13" s="41">
        <f t="shared" si="7"/>
        <v>0</v>
      </c>
      <c r="Z13" s="41">
        <f t="shared" si="19"/>
        <v>0</v>
      </c>
      <c r="AA13" s="41">
        <f>Z13*E13</f>
        <v>0</v>
      </c>
      <c r="AB13" s="41">
        <f t="shared" si="9"/>
        <v>21.1</v>
      </c>
      <c r="AC13" s="152">
        <f t="shared" si="10"/>
        <v>0</v>
      </c>
      <c r="AD13" s="182">
        <f t="shared" si="11"/>
        <v>0</v>
      </c>
      <c r="AE13" s="41">
        <f t="shared" si="12"/>
        <v>0</v>
      </c>
      <c r="AF13" s="152" t="str">
        <f t="shared" si="13"/>
        <v/>
      </c>
      <c r="AG13" s="182" t="str">
        <f t="shared" si="14"/>
        <v/>
      </c>
      <c r="AH13" s="151" t="str">
        <f t="shared" si="20"/>
        <v/>
      </c>
      <c r="AI13" s="152" t="str">
        <f t="shared" si="15"/>
        <v/>
      </c>
      <c r="AJ13" s="182" t="str">
        <f t="shared" si="16"/>
        <v/>
      </c>
      <c r="AK13" s="152" t="str">
        <f t="shared" si="17"/>
        <v/>
      </c>
    </row>
    <row r="14" spans="1:37" ht="13.5" thickBot="1" x14ac:dyDescent="0.25">
      <c r="B14" s="117">
        <v>325</v>
      </c>
      <c r="C14" s="38">
        <v>23.2</v>
      </c>
      <c r="D14" s="39">
        <v>30</v>
      </c>
      <c r="E14" s="19">
        <v>79</v>
      </c>
      <c r="F14" s="68">
        <v>6</v>
      </c>
      <c r="G14" s="19">
        <v>100</v>
      </c>
      <c r="H14" s="80">
        <v>133</v>
      </c>
      <c r="I14" s="70">
        <v>711</v>
      </c>
      <c r="J14" s="80">
        <v>4</v>
      </c>
      <c r="K14" s="1">
        <v>0.6</v>
      </c>
      <c r="L14" s="114">
        <f t="shared" si="18"/>
        <v>0.27185999999999999</v>
      </c>
      <c r="N14">
        <v>65</v>
      </c>
      <c r="O14" s="151"/>
      <c r="P14" s="41"/>
      <c r="Q14" s="41"/>
      <c r="R14" s="190">
        <f t="shared" si="0"/>
        <v>325</v>
      </c>
      <c r="S14" s="182">
        <f t="shared" si="1"/>
        <v>0</v>
      </c>
      <c r="T14" s="182">
        <f t="shared" si="2"/>
        <v>23.2</v>
      </c>
      <c r="U14" s="182">
        <f>IF(AND($P$7&gt;=H14,$P$7&lt;=I14),1,0)</f>
        <v>0</v>
      </c>
      <c r="V14" s="182">
        <f t="shared" si="4"/>
        <v>0</v>
      </c>
      <c r="W14" s="151">
        <f>$P$11/E14</f>
        <v>0</v>
      </c>
      <c r="X14" s="41">
        <f>(INT(W14))</f>
        <v>0</v>
      </c>
      <c r="Y14" s="41">
        <f t="shared" si="7"/>
        <v>0</v>
      </c>
      <c r="Z14" s="41">
        <f t="shared" si="19"/>
        <v>0</v>
      </c>
      <c r="AA14" s="41">
        <f t="shared" si="8"/>
        <v>0</v>
      </c>
      <c r="AB14" s="41">
        <f>AA14/3.14+C14</f>
        <v>23.2</v>
      </c>
      <c r="AC14" s="152">
        <f>IF(AB14&lt;$P$6,1,0)</f>
        <v>0</v>
      </c>
      <c r="AD14" s="182">
        <f>IF(Z14&gt;=F14,1,0)</f>
        <v>0</v>
      </c>
      <c r="AE14" s="41">
        <f t="shared" si="12"/>
        <v>0</v>
      </c>
      <c r="AF14" s="152" t="str">
        <f t="shared" si="13"/>
        <v/>
      </c>
      <c r="AG14" s="182" t="str">
        <f t="shared" si="14"/>
        <v/>
      </c>
      <c r="AH14" s="151" t="str">
        <f>IF(AG14="","",IF($P$9-T14&lt;$AI$4,"",$P$9-T14))</f>
        <v/>
      </c>
      <c r="AI14" s="152" t="str">
        <f t="shared" si="15"/>
        <v/>
      </c>
      <c r="AJ14" s="182" t="str">
        <f t="shared" si="16"/>
        <v/>
      </c>
      <c r="AK14" s="152" t="str">
        <f t="shared" si="17"/>
        <v/>
      </c>
    </row>
    <row r="15" spans="1:37" ht="13.5" thickBot="1" x14ac:dyDescent="0.25">
      <c r="B15" s="117">
        <v>340</v>
      </c>
      <c r="C15" s="38">
        <v>25.5</v>
      </c>
      <c r="D15" s="39">
        <v>34</v>
      </c>
      <c r="E15" s="19">
        <v>41</v>
      </c>
      <c r="F15" s="67">
        <v>4</v>
      </c>
      <c r="G15" s="19">
        <v>100</v>
      </c>
      <c r="H15" s="80">
        <v>30</v>
      </c>
      <c r="I15" s="70">
        <v>324</v>
      </c>
      <c r="J15" s="80">
        <v>4</v>
      </c>
      <c r="K15" s="1">
        <v>0.35</v>
      </c>
      <c r="L15" s="114">
        <f t="shared" si="18"/>
        <v>0.158585</v>
      </c>
      <c r="N15">
        <v>65</v>
      </c>
      <c r="O15" s="151"/>
      <c r="P15" s="41"/>
      <c r="Q15" s="41"/>
      <c r="R15" s="190">
        <f t="shared" si="0"/>
        <v>340</v>
      </c>
      <c r="S15" s="182">
        <f t="shared" si="1"/>
        <v>0</v>
      </c>
      <c r="T15" s="182">
        <f t="shared" si="2"/>
        <v>25.5</v>
      </c>
      <c r="U15" s="182">
        <f t="shared" si="3"/>
        <v>0</v>
      </c>
      <c r="V15" s="182">
        <f t="shared" si="4"/>
        <v>0</v>
      </c>
      <c r="W15" s="151">
        <f t="shared" si="5"/>
        <v>0</v>
      </c>
      <c r="X15" s="41">
        <f t="shared" si="6"/>
        <v>0</v>
      </c>
      <c r="Y15" s="41">
        <f t="shared" si="7"/>
        <v>0</v>
      </c>
      <c r="Z15" s="41">
        <f t="shared" si="19"/>
        <v>0</v>
      </c>
      <c r="AA15" s="41">
        <f t="shared" si="8"/>
        <v>0</v>
      </c>
      <c r="AB15" s="41">
        <f t="shared" si="9"/>
        <v>25.5</v>
      </c>
      <c r="AC15" s="152">
        <f t="shared" si="10"/>
        <v>0</v>
      </c>
      <c r="AD15" s="182">
        <f t="shared" si="11"/>
        <v>0</v>
      </c>
      <c r="AE15" s="41">
        <f t="shared" si="12"/>
        <v>0</v>
      </c>
      <c r="AF15" s="152" t="str">
        <f t="shared" si="13"/>
        <v/>
      </c>
      <c r="AG15" s="182" t="str">
        <f t="shared" si="14"/>
        <v/>
      </c>
      <c r="AH15" s="151" t="str">
        <f>IF(AG15="","",IF($P$9-T15&lt;$AI$4,"",$P$9-T15))</f>
        <v/>
      </c>
      <c r="AI15" s="152" t="str">
        <f t="shared" si="15"/>
        <v/>
      </c>
      <c r="AJ15" s="182" t="str">
        <f t="shared" si="16"/>
        <v/>
      </c>
      <c r="AK15" s="152" t="str">
        <f t="shared" si="17"/>
        <v/>
      </c>
    </row>
    <row r="16" spans="1:37" ht="13.5" thickBot="1" x14ac:dyDescent="0.25">
      <c r="B16" s="117">
        <v>360</v>
      </c>
      <c r="C16" s="38">
        <v>32</v>
      </c>
      <c r="D16" s="39">
        <v>42</v>
      </c>
      <c r="E16" s="19">
        <v>55</v>
      </c>
      <c r="F16" s="67">
        <v>5</v>
      </c>
      <c r="G16" s="19">
        <v>100</v>
      </c>
      <c r="H16" s="80">
        <v>40</v>
      </c>
      <c r="I16" s="70">
        <v>406</v>
      </c>
      <c r="J16" s="80">
        <v>4</v>
      </c>
      <c r="K16" s="1">
        <v>0.5</v>
      </c>
      <c r="L16" s="114">
        <f t="shared" si="18"/>
        <v>0.22655</v>
      </c>
      <c r="N16">
        <v>65</v>
      </c>
      <c r="O16" s="151"/>
      <c r="P16" s="41"/>
      <c r="Q16" s="41"/>
      <c r="R16" s="190">
        <f t="shared" si="0"/>
        <v>360</v>
      </c>
      <c r="S16" s="182">
        <f t="shared" si="1"/>
        <v>0</v>
      </c>
      <c r="T16" s="182">
        <f t="shared" si="2"/>
        <v>32</v>
      </c>
      <c r="U16" s="182">
        <f t="shared" si="3"/>
        <v>0</v>
      </c>
      <c r="V16" s="182">
        <f t="shared" si="4"/>
        <v>0</v>
      </c>
      <c r="W16" s="151">
        <f t="shared" si="5"/>
        <v>0</v>
      </c>
      <c r="X16" s="41">
        <f t="shared" si="6"/>
        <v>0</v>
      </c>
      <c r="Y16" s="41">
        <f t="shared" si="7"/>
        <v>0</v>
      </c>
      <c r="Z16" s="41">
        <f t="shared" si="19"/>
        <v>0</v>
      </c>
      <c r="AA16" s="41">
        <f t="shared" si="8"/>
        <v>0</v>
      </c>
      <c r="AB16" s="41">
        <f t="shared" si="9"/>
        <v>32</v>
      </c>
      <c r="AC16" s="152">
        <f t="shared" si="10"/>
        <v>0</v>
      </c>
      <c r="AD16" s="182">
        <f t="shared" si="11"/>
        <v>0</v>
      </c>
      <c r="AE16" s="41">
        <f t="shared" si="12"/>
        <v>0</v>
      </c>
      <c r="AF16" s="152" t="str">
        <f t="shared" si="13"/>
        <v/>
      </c>
      <c r="AG16" s="182" t="str">
        <f t="shared" si="14"/>
        <v/>
      </c>
      <c r="AH16" s="151" t="str">
        <f t="shared" si="20"/>
        <v/>
      </c>
      <c r="AI16" s="152" t="str">
        <f t="shared" si="15"/>
        <v/>
      </c>
      <c r="AJ16" s="182" t="str">
        <f t="shared" si="16"/>
        <v/>
      </c>
      <c r="AK16" s="152" t="str">
        <f t="shared" si="17"/>
        <v/>
      </c>
    </row>
    <row r="17" spans="1:37" ht="13.5" thickBot="1" x14ac:dyDescent="0.25">
      <c r="B17" s="117">
        <v>400</v>
      </c>
      <c r="C17" s="38">
        <v>36</v>
      </c>
      <c r="D17" s="39">
        <v>46</v>
      </c>
      <c r="E17" s="19">
        <v>93</v>
      </c>
      <c r="F17" s="68">
        <v>6</v>
      </c>
      <c r="G17" s="19">
        <v>125</v>
      </c>
      <c r="H17" s="80">
        <v>140</v>
      </c>
      <c r="I17" s="70">
        <v>1220</v>
      </c>
      <c r="J17" s="80">
        <v>12</v>
      </c>
      <c r="K17" s="1">
        <v>1.2</v>
      </c>
      <c r="L17" s="114">
        <f t="shared" si="18"/>
        <v>0.54371999999999998</v>
      </c>
      <c r="N17">
        <v>85</v>
      </c>
      <c r="O17" s="151"/>
      <c r="P17" s="41"/>
      <c r="Q17" s="41"/>
      <c r="R17" s="190">
        <f t="shared" si="0"/>
        <v>400</v>
      </c>
      <c r="S17" s="182">
        <f t="shared" si="1"/>
        <v>0</v>
      </c>
      <c r="T17" s="182">
        <f t="shared" si="2"/>
        <v>36</v>
      </c>
      <c r="U17" s="182">
        <f t="shared" si="3"/>
        <v>0</v>
      </c>
      <c r="V17" s="182">
        <f t="shared" si="4"/>
        <v>0</v>
      </c>
      <c r="W17" s="151">
        <f t="shared" si="5"/>
        <v>0</v>
      </c>
      <c r="X17" s="41">
        <f t="shared" si="6"/>
        <v>0</v>
      </c>
      <c r="Y17" s="41">
        <f t="shared" si="7"/>
        <v>0</v>
      </c>
      <c r="Z17" s="41">
        <f t="shared" si="19"/>
        <v>0</v>
      </c>
      <c r="AA17" s="41">
        <f t="shared" si="8"/>
        <v>0</v>
      </c>
      <c r="AB17" s="41">
        <f t="shared" si="9"/>
        <v>36</v>
      </c>
      <c r="AC17" s="152">
        <f t="shared" si="10"/>
        <v>0</v>
      </c>
      <c r="AD17" s="182">
        <f t="shared" si="11"/>
        <v>0</v>
      </c>
      <c r="AE17" s="41">
        <f t="shared" si="12"/>
        <v>0</v>
      </c>
      <c r="AF17" s="152" t="str">
        <f t="shared" si="13"/>
        <v/>
      </c>
      <c r="AG17" s="182" t="str">
        <f t="shared" si="14"/>
        <v/>
      </c>
      <c r="AH17" s="151" t="str">
        <f t="shared" si="20"/>
        <v/>
      </c>
      <c r="AI17" s="152" t="str">
        <f t="shared" si="15"/>
        <v/>
      </c>
      <c r="AJ17" s="182" t="str">
        <f t="shared" si="16"/>
        <v/>
      </c>
      <c r="AK17" s="152" t="str">
        <f t="shared" si="17"/>
        <v/>
      </c>
    </row>
    <row r="18" spans="1:37" ht="13.5" thickBot="1" x14ac:dyDescent="0.25">
      <c r="B18" s="117">
        <v>410</v>
      </c>
      <c r="C18" s="38">
        <v>37</v>
      </c>
      <c r="D18" s="39">
        <v>48.5</v>
      </c>
      <c r="E18" s="19">
        <v>68</v>
      </c>
      <c r="F18" s="67">
        <v>5</v>
      </c>
      <c r="G18" s="19">
        <v>125</v>
      </c>
      <c r="H18" s="80">
        <v>60</v>
      </c>
      <c r="I18" s="70">
        <v>324</v>
      </c>
      <c r="J18" s="80">
        <v>12</v>
      </c>
      <c r="K18" s="1">
        <v>0.8</v>
      </c>
      <c r="L18" s="114">
        <f t="shared" si="18"/>
        <v>0.36248000000000002</v>
      </c>
      <c r="N18">
        <v>85</v>
      </c>
      <c r="O18" s="151"/>
      <c r="P18" s="41"/>
      <c r="Q18" s="41"/>
      <c r="R18" s="190">
        <f t="shared" si="0"/>
        <v>410</v>
      </c>
      <c r="S18" s="182">
        <f t="shared" si="1"/>
        <v>0</v>
      </c>
      <c r="T18" s="182">
        <f t="shared" si="2"/>
        <v>37</v>
      </c>
      <c r="U18" s="182">
        <f t="shared" si="3"/>
        <v>0</v>
      </c>
      <c r="V18" s="182">
        <f t="shared" si="4"/>
        <v>0</v>
      </c>
      <c r="W18" s="151">
        <f t="shared" si="5"/>
        <v>0</v>
      </c>
      <c r="X18" s="41">
        <f t="shared" si="6"/>
        <v>0</v>
      </c>
      <c r="Y18" s="41">
        <f t="shared" si="7"/>
        <v>0</v>
      </c>
      <c r="Z18" s="41">
        <f t="shared" si="19"/>
        <v>0</v>
      </c>
      <c r="AA18" s="41">
        <f t="shared" si="8"/>
        <v>0</v>
      </c>
      <c r="AB18" s="41">
        <f t="shared" si="9"/>
        <v>37</v>
      </c>
      <c r="AC18" s="152">
        <f t="shared" si="10"/>
        <v>0</v>
      </c>
      <c r="AD18" s="182">
        <f t="shared" si="11"/>
        <v>0</v>
      </c>
      <c r="AE18" s="41">
        <f t="shared" si="12"/>
        <v>0</v>
      </c>
      <c r="AF18" s="152" t="str">
        <f t="shared" si="13"/>
        <v/>
      </c>
      <c r="AG18" s="182" t="str">
        <f t="shared" si="14"/>
        <v/>
      </c>
      <c r="AH18" s="151" t="str">
        <f t="shared" si="20"/>
        <v/>
      </c>
      <c r="AI18" s="152" t="str">
        <f t="shared" si="15"/>
        <v/>
      </c>
      <c r="AJ18" s="182" t="str">
        <f t="shared" si="16"/>
        <v/>
      </c>
      <c r="AK18" s="152" t="str">
        <f t="shared" si="17"/>
        <v/>
      </c>
    </row>
    <row r="19" spans="1:37" ht="13.5" thickBot="1" x14ac:dyDescent="0.25">
      <c r="B19" s="117">
        <v>425</v>
      </c>
      <c r="C19" s="38">
        <v>28</v>
      </c>
      <c r="D19" s="39">
        <v>37</v>
      </c>
      <c r="E19" s="19">
        <v>93</v>
      </c>
      <c r="F19" s="67">
        <v>6</v>
      </c>
      <c r="G19" s="19">
        <v>125</v>
      </c>
      <c r="H19" s="80">
        <v>144</v>
      </c>
      <c r="I19" s="70">
        <v>1220</v>
      </c>
      <c r="J19" s="80">
        <v>12</v>
      </c>
      <c r="K19" s="1">
        <v>0.69</v>
      </c>
      <c r="L19" s="114">
        <f t="shared" si="18"/>
        <v>0.312639</v>
      </c>
      <c r="N19">
        <v>85</v>
      </c>
      <c r="O19" s="151"/>
      <c r="P19" s="41"/>
      <c r="Q19" s="41"/>
      <c r="R19" s="190">
        <f t="shared" si="0"/>
        <v>425</v>
      </c>
      <c r="S19" s="182">
        <f t="shared" si="1"/>
        <v>0</v>
      </c>
      <c r="T19" s="182">
        <f t="shared" si="2"/>
        <v>28</v>
      </c>
      <c r="U19" s="182">
        <f t="shared" si="3"/>
        <v>0</v>
      </c>
      <c r="V19" s="182">
        <f t="shared" si="4"/>
        <v>0</v>
      </c>
      <c r="W19" s="151">
        <f t="shared" si="5"/>
        <v>0</v>
      </c>
      <c r="X19" s="41">
        <f t="shared" si="6"/>
        <v>0</v>
      </c>
      <c r="Y19" s="41">
        <f t="shared" si="7"/>
        <v>0</v>
      </c>
      <c r="Z19" s="41">
        <f t="shared" si="19"/>
        <v>0</v>
      </c>
      <c r="AA19" s="41">
        <f t="shared" si="8"/>
        <v>0</v>
      </c>
      <c r="AB19" s="41">
        <f t="shared" si="9"/>
        <v>28</v>
      </c>
      <c r="AC19" s="152">
        <f t="shared" si="10"/>
        <v>0</v>
      </c>
      <c r="AD19" s="182">
        <f t="shared" si="11"/>
        <v>0</v>
      </c>
      <c r="AE19" s="41">
        <f t="shared" si="12"/>
        <v>0</v>
      </c>
      <c r="AF19" s="152" t="str">
        <f t="shared" si="13"/>
        <v/>
      </c>
      <c r="AG19" s="182" t="str">
        <f t="shared" si="14"/>
        <v/>
      </c>
      <c r="AH19" s="151" t="str">
        <f t="shared" si="20"/>
        <v/>
      </c>
      <c r="AI19" s="152" t="str">
        <f t="shared" si="15"/>
        <v/>
      </c>
      <c r="AJ19" s="182" t="str">
        <f t="shared" si="16"/>
        <v/>
      </c>
      <c r="AK19" s="152" t="str">
        <f t="shared" si="17"/>
        <v/>
      </c>
    </row>
    <row r="20" spans="1:37" ht="13.5" thickBot="1" x14ac:dyDescent="0.25">
      <c r="B20" s="117">
        <v>440</v>
      </c>
      <c r="C20" s="38">
        <v>44</v>
      </c>
      <c r="D20" s="39">
        <v>55</v>
      </c>
      <c r="E20" s="19">
        <v>99</v>
      </c>
      <c r="F20" s="67">
        <v>6</v>
      </c>
      <c r="G20" s="19">
        <v>125</v>
      </c>
      <c r="H20" s="80">
        <v>140</v>
      </c>
      <c r="I20" s="70">
        <v>1220</v>
      </c>
      <c r="J20" s="80">
        <v>12</v>
      </c>
      <c r="K20" s="1">
        <v>1</v>
      </c>
      <c r="L20" s="114">
        <f t="shared" si="18"/>
        <v>0.4531</v>
      </c>
      <c r="N20">
        <v>85</v>
      </c>
      <c r="O20" s="151"/>
      <c r="P20" s="41"/>
      <c r="Q20" s="41"/>
      <c r="R20" s="190">
        <f t="shared" si="0"/>
        <v>440</v>
      </c>
      <c r="S20" s="182">
        <f t="shared" si="1"/>
        <v>0</v>
      </c>
      <c r="T20" s="182">
        <f t="shared" si="2"/>
        <v>44</v>
      </c>
      <c r="U20" s="182">
        <f t="shared" si="3"/>
        <v>0</v>
      </c>
      <c r="V20" s="182">
        <f t="shared" si="4"/>
        <v>0</v>
      </c>
      <c r="W20" s="151">
        <f t="shared" si="5"/>
        <v>0</v>
      </c>
      <c r="X20" s="41">
        <f t="shared" si="6"/>
        <v>0</v>
      </c>
      <c r="Y20" s="41">
        <f t="shared" si="7"/>
        <v>0</v>
      </c>
      <c r="Z20" s="41">
        <f t="shared" si="19"/>
        <v>0</v>
      </c>
      <c r="AA20" s="41">
        <f t="shared" si="8"/>
        <v>0</v>
      </c>
      <c r="AB20" s="41">
        <f t="shared" si="9"/>
        <v>44</v>
      </c>
      <c r="AC20" s="152">
        <f t="shared" si="10"/>
        <v>0</v>
      </c>
      <c r="AD20" s="182">
        <f t="shared" si="11"/>
        <v>0</v>
      </c>
      <c r="AE20" s="41">
        <f t="shared" si="12"/>
        <v>0</v>
      </c>
      <c r="AF20" s="152" t="str">
        <f t="shared" si="13"/>
        <v/>
      </c>
      <c r="AG20" s="182" t="str">
        <f t="shared" si="14"/>
        <v/>
      </c>
      <c r="AH20" s="151" t="str">
        <f t="shared" si="20"/>
        <v/>
      </c>
      <c r="AI20" s="152" t="str">
        <f t="shared" si="15"/>
        <v/>
      </c>
      <c r="AJ20" s="182" t="str">
        <f t="shared" si="16"/>
        <v/>
      </c>
      <c r="AK20" s="152" t="str">
        <f t="shared" si="17"/>
        <v/>
      </c>
    </row>
    <row r="21" spans="1:37" ht="13.5" thickBot="1" x14ac:dyDescent="0.25">
      <c r="B21" s="117">
        <v>475</v>
      </c>
      <c r="C21" s="38">
        <v>41</v>
      </c>
      <c r="D21" s="39">
        <v>48.5</v>
      </c>
      <c r="E21" s="19">
        <v>69</v>
      </c>
      <c r="F21" s="67">
        <v>5</v>
      </c>
      <c r="G21" s="19">
        <v>125</v>
      </c>
      <c r="H21" s="80">
        <v>60</v>
      </c>
      <c r="I21" s="70">
        <v>1220</v>
      </c>
      <c r="J21" s="80">
        <v>12</v>
      </c>
      <c r="K21" s="1">
        <v>0.9</v>
      </c>
      <c r="L21" s="114">
        <f t="shared" si="18"/>
        <v>0.40778999999999999</v>
      </c>
      <c r="N21">
        <v>85</v>
      </c>
      <c r="O21" s="151"/>
      <c r="P21" s="41"/>
      <c r="Q21" s="41"/>
      <c r="R21" s="190">
        <f t="shared" si="0"/>
        <v>475</v>
      </c>
      <c r="S21" s="182">
        <f t="shared" si="1"/>
        <v>0</v>
      </c>
      <c r="T21" s="182">
        <f t="shared" si="2"/>
        <v>41</v>
      </c>
      <c r="U21" s="182">
        <f t="shared" si="3"/>
        <v>0</v>
      </c>
      <c r="V21" s="182">
        <f t="shared" si="4"/>
        <v>0</v>
      </c>
      <c r="W21" s="151">
        <f t="shared" si="5"/>
        <v>0</v>
      </c>
      <c r="X21" s="41">
        <f t="shared" si="6"/>
        <v>0</v>
      </c>
      <c r="Y21" s="41">
        <f t="shared" si="7"/>
        <v>0</v>
      </c>
      <c r="Z21" s="41">
        <f t="shared" si="19"/>
        <v>0</v>
      </c>
      <c r="AA21" s="41">
        <f t="shared" si="8"/>
        <v>0</v>
      </c>
      <c r="AB21" s="41">
        <f>AA21/3.14+C21</f>
        <v>41</v>
      </c>
      <c r="AC21" s="152">
        <f t="shared" si="10"/>
        <v>0</v>
      </c>
      <c r="AD21" s="182">
        <f t="shared" si="11"/>
        <v>0</v>
      </c>
      <c r="AE21" s="41">
        <f t="shared" si="12"/>
        <v>0</v>
      </c>
      <c r="AF21" s="152" t="str">
        <f t="shared" si="13"/>
        <v/>
      </c>
      <c r="AG21" s="182" t="str">
        <f t="shared" si="14"/>
        <v/>
      </c>
      <c r="AH21" s="151" t="str">
        <f t="shared" si="20"/>
        <v/>
      </c>
      <c r="AI21" s="152" t="str">
        <f t="shared" si="15"/>
        <v/>
      </c>
      <c r="AJ21" s="182" t="str">
        <f t="shared" si="16"/>
        <v/>
      </c>
      <c r="AK21" s="152" t="str">
        <f t="shared" si="17"/>
        <v/>
      </c>
    </row>
    <row r="22" spans="1:37" ht="13.5" thickBot="1" x14ac:dyDescent="0.25">
      <c r="B22" s="117">
        <v>500</v>
      </c>
      <c r="C22" s="38">
        <v>60</v>
      </c>
      <c r="D22" s="39">
        <v>71.5</v>
      </c>
      <c r="E22" s="19">
        <v>100</v>
      </c>
      <c r="F22" s="68">
        <v>5</v>
      </c>
      <c r="G22" s="19">
        <v>140</v>
      </c>
      <c r="H22" s="80">
        <v>100</v>
      </c>
      <c r="I22" s="70">
        <v>1220</v>
      </c>
      <c r="J22" s="80">
        <v>22</v>
      </c>
      <c r="K22" s="1">
        <v>2.2999999999999998</v>
      </c>
      <c r="L22" s="114">
        <f t="shared" si="18"/>
        <v>1.04213</v>
      </c>
      <c r="N22">
        <v>90</v>
      </c>
      <c r="O22" s="151"/>
      <c r="P22" s="41"/>
      <c r="Q22" s="41"/>
      <c r="R22" s="190">
        <f t="shared" si="0"/>
        <v>500</v>
      </c>
      <c r="S22" s="182">
        <f t="shared" si="1"/>
        <v>0</v>
      </c>
      <c r="T22" s="182">
        <f t="shared" si="2"/>
        <v>60</v>
      </c>
      <c r="U22" s="182">
        <f t="shared" si="3"/>
        <v>0</v>
      </c>
      <c r="V22" s="182">
        <f t="shared" si="4"/>
        <v>0</v>
      </c>
      <c r="W22" s="151">
        <f>$P$11/E22</f>
        <v>0</v>
      </c>
      <c r="X22" s="41">
        <f t="shared" si="6"/>
        <v>0</v>
      </c>
      <c r="Y22" s="41">
        <f t="shared" si="7"/>
        <v>0</v>
      </c>
      <c r="Z22" s="41">
        <f t="shared" si="19"/>
        <v>0</v>
      </c>
      <c r="AA22" s="41">
        <f>Z22*E22</f>
        <v>0</v>
      </c>
      <c r="AB22" s="41">
        <f>AA22/3.14+C22</f>
        <v>60</v>
      </c>
      <c r="AC22" s="152">
        <f t="shared" si="10"/>
        <v>0</v>
      </c>
      <c r="AD22" s="182">
        <f t="shared" si="11"/>
        <v>0</v>
      </c>
      <c r="AE22" s="41">
        <f t="shared" si="12"/>
        <v>0</v>
      </c>
      <c r="AF22" s="152" t="str">
        <f t="shared" si="13"/>
        <v/>
      </c>
      <c r="AG22" s="182" t="str">
        <f t="shared" si="14"/>
        <v/>
      </c>
      <c r="AH22" s="151" t="str">
        <f t="shared" si="20"/>
        <v/>
      </c>
      <c r="AI22" s="152" t="str">
        <f t="shared" si="15"/>
        <v/>
      </c>
      <c r="AJ22" s="182" t="str">
        <f t="shared" si="16"/>
        <v/>
      </c>
      <c r="AK22" s="152" t="str">
        <f t="shared" si="17"/>
        <v/>
      </c>
    </row>
    <row r="23" spans="1:37" ht="13.5" thickBot="1" x14ac:dyDescent="0.25">
      <c r="B23" s="117">
        <v>525</v>
      </c>
      <c r="C23" s="38">
        <v>55</v>
      </c>
      <c r="D23" s="39">
        <v>63.5</v>
      </c>
      <c r="E23" s="19">
        <v>100</v>
      </c>
      <c r="F23" s="67">
        <v>6</v>
      </c>
      <c r="G23" s="19">
        <v>133</v>
      </c>
      <c r="H23" s="80">
        <v>133</v>
      </c>
      <c r="I23" s="70">
        <v>1220</v>
      </c>
      <c r="J23" s="80">
        <v>22</v>
      </c>
      <c r="K23" s="1">
        <v>2.15</v>
      </c>
      <c r="L23" s="114">
        <f t="shared" si="18"/>
        <v>0.97416499999999995</v>
      </c>
      <c r="N23">
        <v>90</v>
      </c>
      <c r="O23" s="151"/>
      <c r="P23" s="41"/>
      <c r="Q23" s="41"/>
      <c r="R23" s="190">
        <f t="shared" si="0"/>
        <v>525</v>
      </c>
      <c r="S23" s="182">
        <f t="shared" si="1"/>
        <v>0</v>
      </c>
      <c r="T23" s="182">
        <f t="shared" si="2"/>
        <v>55</v>
      </c>
      <c r="U23" s="182">
        <f t="shared" si="3"/>
        <v>0</v>
      </c>
      <c r="V23" s="182">
        <f t="shared" si="4"/>
        <v>0</v>
      </c>
      <c r="W23" s="151">
        <f t="shared" si="5"/>
        <v>0</v>
      </c>
      <c r="X23" s="41">
        <f t="shared" si="6"/>
        <v>0</v>
      </c>
      <c r="Y23" s="41">
        <f t="shared" si="7"/>
        <v>0</v>
      </c>
      <c r="Z23" s="41">
        <f t="shared" si="19"/>
        <v>0</v>
      </c>
      <c r="AA23" s="41">
        <f t="shared" si="8"/>
        <v>0</v>
      </c>
      <c r="AB23" s="41">
        <f t="shared" si="9"/>
        <v>55</v>
      </c>
      <c r="AC23" s="152">
        <f t="shared" si="10"/>
        <v>0</v>
      </c>
      <c r="AD23" s="182">
        <f t="shared" si="11"/>
        <v>0</v>
      </c>
      <c r="AE23" s="41">
        <f t="shared" si="12"/>
        <v>0</v>
      </c>
      <c r="AF23" s="152" t="str">
        <f t="shared" si="13"/>
        <v/>
      </c>
      <c r="AG23" s="182" t="str">
        <f t="shared" si="14"/>
        <v/>
      </c>
      <c r="AH23" s="151" t="str">
        <f t="shared" si="20"/>
        <v/>
      </c>
      <c r="AI23" s="152" t="str">
        <f t="shared" si="15"/>
        <v/>
      </c>
      <c r="AJ23" s="182" t="str">
        <f t="shared" si="16"/>
        <v/>
      </c>
      <c r="AK23" s="152" t="str">
        <f t="shared" si="17"/>
        <v/>
      </c>
    </row>
    <row r="24" spans="1:37" ht="13.5" thickBot="1" x14ac:dyDescent="0.25">
      <c r="B24" s="117">
        <v>575</v>
      </c>
      <c r="C24" s="38">
        <v>48</v>
      </c>
      <c r="D24" s="39">
        <v>58</v>
      </c>
      <c r="E24" s="19">
        <v>79</v>
      </c>
      <c r="F24" s="67">
        <v>5</v>
      </c>
      <c r="G24" s="19">
        <v>140</v>
      </c>
      <c r="H24" s="80">
        <v>89</v>
      </c>
      <c r="I24" s="70">
        <v>1220</v>
      </c>
      <c r="J24" s="80">
        <v>22</v>
      </c>
      <c r="K24" s="1">
        <v>1.55</v>
      </c>
      <c r="L24" s="114">
        <f t="shared" si="18"/>
        <v>0.70230500000000007</v>
      </c>
      <c r="N24">
        <v>90</v>
      </c>
      <c r="O24" s="151"/>
      <c r="P24" s="41"/>
      <c r="Q24" s="41"/>
      <c r="R24" s="190">
        <f t="shared" si="0"/>
        <v>575</v>
      </c>
      <c r="S24" s="182">
        <f t="shared" si="1"/>
        <v>0</v>
      </c>
      <c r="T24" s="182">
        <f t="shared" si="2"/>
        <v>48</v>
      </c>
      <c r="U24" s="182">
        <f t="shared" si="3"/>
        <v>0</v>
      </c>
      <c r="V24" s="182">
        <f t="shared" si="4"/>
        <v>0</v>
      </c>
      <c r="W24" s="151">
        <f t="shared" si="5"/>
        <v>0</v>
      </c>
      <c r="X24" s="41">
        <f>(INT(W24))</f>
        <v>0</v>
      </c>
      <c r="Y24" s="41">
        <f t="shared" si="7"/>
        <v>0</v>
      </c>
      <c r="Z24" s="41">
        <f t="shared" si="19"/>
        <v>0</v>
      </c>
      <c r="AA24" s="41">
        <f t="shared" si="8"/>
        <v>0</v>
      </c>
      <c r="AB24" s="41">
        <f t="shared" si="9"/>
        <v>48</v>
      </c>
      <c r="AC24" s="152">
        <f t="shared" si="10"/>
        <v>0</v>
      </c>
      <c r="AD24" s="182">
        <f t="shared" si="11"/>
        <v>0</v>
      </c>
      <c r="AE24" s="41">
        <f t="shared" si="12"/>
        <v>0</v>
      </c>
      <c r="AF24" s="152" t="str">
        <f t="shared" si="13"/>
        <v/>
      </c>
      <c r="AG24" s="182" t="str">
        <f t="shared" si="14"/>
        <v/>
      </c>
      <c r="AH24" s="151" t="str">
        <f t="shared" si="20"/>
        <v/>
      </c>
      <c r="AI24" s="152" t="str">
        <f t="shared" si="15"/>
        <v/>
      </c>
      <c r="AJ24" s="182" t="str">
        <f t="shared" si="16"/>
        <v/>
      </c>
      <c r="AK24" s="152" t="str">
        <f t="shared" si="17"/>
        <v/>
      </c>
    </row>
    <row r="25" spans="1:37" ht="13.5" thickBot="1" x14ac:dyDescent="0.25">
      <c r="B25" s="81">
        <v>615</v>
      </c>
      <c r="C25" s="38">
        <v>81</v>
      </c>
      <c r="D25" s="39">
        <v>98</v>
      </c>
      <c r="E25" s="19">
        <v>156</v>
      </c>
      <c r="F25" s="67">
        <v>6</v>
      </c>
      <c r="G25" s="19">
        <v>165</v>
      </c>
      <c r="H25" s="80">
        <v>219</v>
      </c>
      <c r="I25" s="70">
        <v>3000</v>
      </c>
      <c r="J25" s="80">
        <v>48</v>
      </c>
      <c r="K25" s="1">
        <v>6.25</v>
      </c>
      <c r="L25" s="114">
        <f t="shared" si="18"/>
        <v>2.8318750000000001</v>
      </c>
      <c r="N25">
        <v>100</v>
      </c>
      <c r="O25" s="151"/>
      <c r="P25" s="41"/>
      <c r="Q25" s="41"/>
      <c r="R25" s="190">
        <f t="shared" si="0"/>
        <v>615</v>
      </c>
      <c r="S25" s="182">
        <f t="shared" si="1"/>
        <v>0</v>
      </c>
      <c r="T25" s="182">
        <f t="shared" si="2"/>
        <v>81</v>
      </c>
      <c r="U25" s="182">
        <f t="shared" si="3"/>
        <v>0</v>
      </c>
      <c r="V25" s="182">
        <f t="shared" si="4"/>
        <v>0</v>
      </c>
      <c r="W25" s="151">
        <f t="shared" si="5"/>
        <v>0</v>
      </c>
      <c r="X25" s="41">
        <f t="shared" si="6"/>
        <v>0</v>
      </c>
      <c r="Y25" s="41">
        <f t="shared" si="7"/>
        <v>0</v>
      </c>
      <c r="Z25" s="41">
        <f t="shared" si="19"/>
        <v>0</v>
      </c>
      <c r="AA25" s="41">
        <f t="shared" si="8"/>
        <v>0</v>
      </c>
      <c r="AB25" s="41">
        <f t="shared" si="9"/>
        <v>81</v>
      </c>
      <c r="AC25" s="152">
        <f t="shared" si="10"/>
        <v>0</v>
      </c>
      <c r="AD25" s="182">
        <f t="shared" si="11"/>
        <v>0</v>
      </c>
      <c r="AE25" s="41">
        <f t="shared" si="12"/>
        <v>0</v>
      </c>
      <c r="AF25" s="152" t="str">
        <f t="shared" si="13"/>
        <v/>
      </c>
      <c r="AG25" s="182" t="str">
        <f t="shared" si="14"/>
        <v/>
      </c>
      <c r="AH25" s="151" t="str">
        <f t="shared" si="20"/>
        <v/>
      </c>
      <c r="AI25" s="152" t="str">
        <f t="shared" si="15"/>
        <v/>
      </c>
      <c r="AJ25" s="182" t="str">
        <f t="shared" si="16"/>
        <v/>
      </c>
      <c r="AK25" s="152" t="str">
        <f t="shared" si="17"/>
        <v/>
      </c>
    </row>
    <row r="26" spans="1:37" ht="13.5" thickBot="1" x14ac:dyDescent="0.25">
      <c r="B26" s="117">
        <v>625</v>
      </c>
      <c r="C26" s="38">
        <v>81</v>
      </c>
      <c r="D26" s="39">
        <v>98</v>
      </c>
      <c r="E26" s="19">
        <v>107</v>
      </c>
      <c r="F26" s="68">
        <v>5</v>
      </c>
      <c r="G26" s="19">
        <v>165</v>
      </c>
      <c r="H26" s="80">
        <v>89</v>
      </c>
      <c r="I26" s="70">
        <v>2000</v>
      </c>
      <c r="J26" s="80">
        <v>48</v>
      </c>
      <c r="K26" s="1">
        <v>3.25</v>
      </c>
      <c r="L26" s="114">
        <v>1.5</v>
      </c>
      <c r="N26">
        <v>100</v>
      </c>
      <c r="O26" s="151"/>
      <c r="P26" s="41"/>
      <c r="Q26" s="41"/>
      <c r="R26" s="190">
        <f t="shared" si="0"/>
        <v>625</v>
      </c>
      <c r="S26" s="182">
        <f t="shared" si="1"/>
        <v>0</v>
      </c>
      <c r="T26" s="182">
        <f t="shared" si="2"/>
        <v>81</v>
      </c>
      <c r="U26" s="182">
        <f t="shared" si="3"/>
        <v>0</v>
      </c>
      <c r="V26" s="182">
        <f t="shared" si="4"/>
        <v>0</v>
      </c>
      <c r="W26" s="151">
        <f t="shared" si="5"/>
        <v>0</v>
      </c>
      <c r="X26" s="41">
        <f t="shared" si="6"/>
        <v>0</v>
      </c>
      <c r="Y26" s="41">
        <f t="shared" si="7"/>
        <v>0</v>
      </c>
      <c r="Z26" s="41">
        <f t="shared" si="19"/>
        <v>0</v>
      </c>
      <c r="AA26" s="41">
        <f t="shared" si="8"/>
        <v>0</v>
      </c>
      <c r="AB26" s="41">
        <f t="shared" si="9"/>
        <v>81</v>
      </c>
      <c r="AC26" s="152">
        <f t="shared" si="10"/>
        <v>0</v>
      </c>
      <c r="AD26" s="182">
        <f t="shared" si="11"/>
        <v>0</v>
      </c>
      <c r="AE26" s="41">
        <f t="shared" si="12"/>
        <v>0</v>
      </c>
      <c r="AF26" s="152" t="str">
        <f t="shared" si="13"/>
        <v/>
      </c>
      <c r="AG26" s="182" t="str">
        <f t="shared" si="14"/>
        <v/>
      </c>
      <c r="AH26" s="151" t="str">
        <f t="shared" si="20"/>
        <v/>
      </c>
      <c r="AI26" s="152" t="str">
        <f t="shared" si="15"/>
        <v/>
      </c>
      <c r="AJ26" s="182" t="str">
        <f t="shared" si="16"/>
        <v/>
      </c>
      <c r="AK26" s="152" t="str">
        <f t="shared" si="17"/>
        <v/>
      </c>
    </row>
    <row r="27" spans="1:37" ht="13.5" thickBot="1" x14ac:dyDescent="0.25">
      <c r="B27" s="117">
        <v>650</v>
      </c>
      <c r="C27" s="38">
        <v>69</v>
      </c>
      <c r="D27" s="39">
        <v>84</v>
      </c>
      <c r="E27" s="19">
        <v>107</v>
      </c>
      <c r="F27" s="67">
        <v>5</v>
      </c>
      <c r="G27" s="19">
        <v>165</v>
      </c>
      <c r="H27" s="80">
        <v>89</v>
      </c>
      <c r="I27" s="70">
        <v>2000</v>
      </c>
      <c r="J27" s="80">
        <v>48</v>
      </c>
      <c r="K27" s="1">
        <v>2.5</v>
      </c>
      <c r="L27" s="114">
        <v>1.18</v>
      </c>
      <c r="N27">
        <v>100</v>
      </c>
      <c r="O27" s="151"/>
      <c r="P27" s="41"/>
      <c r="Q27" s="41"/>
      <c r="R27" s="190">
        <f t="shared" si="0"/>
        <v>650</v>
      </c>
      <c r="S27" s="182">
        <f t="shared" si="1"/>
        <v>0</v>
      </c>
      <c r="T27" s="182">
        <f t="shared" si="2"/>
        <v>69</v>
      </c>
      <c r="U27" s="182">
        <f t="shared" si="3"/>
        <v>0</v>
      </c>
      <c r="V27" s="182">
        <f t="shared" si="4"/>
        <v>0</v>
      </c>
      <c r="W27" s="151">
        <f t="shared" si="5"/>
        <v>0</v>
      </c>
      <c r="X27" s="41">
        <f t="shared" si="6"/>
        <v>0</v>
      </c>
      <c r="Y27" s="41">
        <f t="shared" si="7"/>
        <v>0</v>
      </c>
      <c r="Z27" s="41">
        <f t="shared" si="19"/>
        <v>0</v>
      </c>
      <c r="AA27" s="41">
        <f t="shared" si="8"/>
        <v>0</v>
      </c>
      <c r="AB27" s="41">
        <f t="shared" si="9"/>
        <v>69</v>
      </c>
      <c r="AC27" s="152">
        <f t="shared" si="10"/>
        <v>0</v>
      </c>
      <c r="AD27" s="182">
        <f t="shared" si="11"/>
        <v>0</v>
      </c>
      <c r="AE27" s="41">
        <f t="shared" si="12"/>
        <v>0</v>
      </c>
      <c r="AF27" s="152" t="str">
        <f t="shared" si="13"/>
        <v/>
      </c>
      <c r="AG27" s="182" t="str">
        <f t="shared" si="14"/>
        <v/>
      </c>
      <c r="AH27" s="151" t="str">
        <f>IF(AG27="","",IF($P$9-T27&lt;$AI$4,"",$P$9-T27))</f>
        <v/>
      </c>
      <c r="AI27" s="152" t="str">
        <f>IF(AH27=$AJ$5,AG27,"")</f>
        <v/>
      </c>
      <c r="AJ27" s="182" t="str">
        <f t="shared" si="16"/>
        <v/>
      </c>
      <c r="AK27" s="152" t="str">
        <f t="shared" si="17"/>
        <v/>
      </c>
    </row>
    <row r="28" spans="1:37" ht="13.5" thickBot="1" x14ac:dyDescent="0.25">
      <c r="B28" s="117">
        <v>700</v>
      </c>
      <c r="C28" s="38">
        <v>95</v>
      </c>
      <c r="D28" s="39">
        <v>110</v>
      </c>
      <c r="E28" s="19">
        <v>156</v>
      </c>
      <c r="F28" s="67">
        <v>6</v>
      </c>
      <c r="G28" s="19">
        <v>165</v>
      </c>
      <c r="H28" s="80">
        <v>219</v>
      </c>
      <c r="I28" s="70">
        <v>3000</v>
      </c>
      <c r="J28" s="80">
        <v>48</v>
      </c>
      <c r="K28" s="1">
        <v>5.25</v>
      </c>
      <c r="L28" s="114">
        <v>2.5499999999999998</v>
      </c>
      <c r="N28">
        <v>100</v>
      </c>
      <c r="O28" s="155"/>
      <c r="P28" s="156"/>
      <c r="Q28" s="156"/>
      <c r="R28" s="191">
        <f t="shared" si="0"/>
        <v>700</v>
      </c>
      <c r="S28" s="183">
        <f t="shared" si="1"/>
        <v>0</v>
      </c>
      <c r="T28" s="183">
        <f t="shared" si="2"/>
        <v>95</v>
      </c>
      <c r="U28" s="183">
        <f t="shared" si="3"/>
        <v>0</v>
      </c>
      <c r="V28" s="183">
        <f t="shared" si="4"/>
        <v>0</v>
      </c>
      <c r="W28" s="155">
        <f t="shared" si="5"/>
        <v>0</v>
      </c>
      <c r="X28" s="156">
        <f t="shared" si="6"/>
        <v>0</v>
      </c>
      <c r="Y28" s="156">
        <f t="shared" si="7"/>
        <v>0</v>
      </c>
      <c r="Z28" s="156">
        <f t="shared" si="19"/>
        <v>0</v>
      </c>
      <c r="AA28" s="156">
        <f t="shared" si="8"/>
        <v>0</v>
      </c>
      <c r="AB28" s="156">
        <f t="shared" si="9"/>
        <v>95</v>
      </c>
      <c r="AC28" s="177">
        <f t="shared" si="10"/>
        <v>0</v>
      </c>
      <c r="AD28" s="183">
        <f t="shared" si="11"/>
        <v>0</v>
      </c>
      <c r="AE28" s="156">
        <f t="shared" si="12"/>
        <v>0</v>
      </c>
      <c r="AF28" s="177" t="str">
        <f t="shared" si="13"/>
        <v/>
      </c>
      <c r="AG28" s="183" t="str">
        <f t="shared" si="14"/>
        <v/>
      </c>
      <c r="AH28" s="155" t="str">
        <f t="shared" si="20"/>
        <v/>
      </c>
      <c r="AI28" s="177" t="str">
        <f t="shared" si="15"/>
        <v/>
      </c>
      <c r="AJ28" s="183" t="str">
        <f t="shared" si="16"/>
        <v/>
      </c>
      <c r="AK28" s="177" t="str">
        <f t="shared" si="17"/>
        <v/>
      </c>
    </row>
    <row r="30" spans="1:37" s="124" customFormat="1" ht="36" x14ac:dyDescent="0.2">
      <c r="A30" s="123" t="s">
        <v>36</v>
      </c>
      <c r="C30" s="333" t="s">
        <v>84</v>
      </c>
      <c r="D30" s="334"/>
      <c r="E30" s="148" t="s">
        <v>79</v>
      </c>
      <c r="G30" s="148" t="s">
        <v>85</v>
      </c>
      <c r="H30" s="328" t="s">
        <v>86</v>
      </c>
      <c r="I30" s="329"/>
      <c r="K30" s="359" t="s">
        <v>66</v>
      </c>
      <c r="L30" s="338"/>
      <c r="M30" s="338"/>
      <c r="N30" s="338"/>
    </row>
    <row r="31" spans="1:37" ht="25.5" x14ac:dyDescent="0.2">
      <c r="B31" s="95" t="s">
        <v>37</v>
      </c>
      <c r="C31" s="1" t="s">
        <v>1</v>
      </c>
      <c r="D31" s="30" t="s">
        <v>2</v>
      </c>
      <c r="E31" s="108" t="s">
        <v>3</v>
      </c>
      <c r="F31" s="71" t="s">
        <v>35</v>
      </c>
      <c r="G31" s="108" t="s">
        <v>3</v>
      </c>
      <c r="H31" s="77" t="s">
        <v>1</v>
      </c>
      <c r="I31" s="69" t="s">
        <v>2</v>
      </c>
      <c r="K31" s="87" t="s">
        <v>50</v>
      </c>
      <c r="L31" s="88" t="s">
        <v>45</v>
      </c>
      <c r="M31" s="87" t="s">
        <v>49</v>
      </c>
      <c r="N31" s="89" t="s">
        <v>48</v>
      </c>
      <c r="T31" s="323" t="s">
        <v>42</v>
      </c>
      <c r="U31" s="324"/>
      <c r="V31" s="324"/>
      <c r="W31" s="324"/>
      <c r="X31" s="325"/>
    </row>
    <row r="32" spans="1:37" x14ac:dyDescent="0.2">
      <c r="B32" s="126">
        <v>275</v>
      </c>
      <c r="C32" s="38">
        <v>16</v>
      </c>
      <c r="D32" s="39">
        <v>20</v>
      </c>
      <c r="E32" s="19">
        <v>26</v>
      </c>
      <c r="F32" s="68">
        <v>4</v>
      </c>
      <c r="G32" s="19">
        <v>63</v>
      </c>
      <c r="H32" s="78">
        <v>13</v>
      </c>
      <c r="I32" s="70">
        <v>90</v>
      </c>
      <c r="K32" s="90">
        <f>IF(AND(H32&lt;=$P$7,I32&gt;=$P$7),1,0)</f>
        <v>0</v>
      </c>
      <c r="L32" s="91">
        <f t="shared" ref="L32:L53" si="21">D32*K32</f>
        <v>0</v>
      </c>
      <c r="M32" s="90">
        <f>IF(AND(H32&lt;=$P$7,I32&gt;=$P$7),1,100)</f>
        <v>100</v>
      </c>
      <c r="N32" s="91">
        <f>C32*M32</f>
        <v>1600</v>
      </c>
      <c r="T32" s="323" t="s">
        <v>54</v>
      </c>
      <c r="U32" s="330"/>
      <c r="V32" s="147" t="str">
        <f>Y36</f>
        <v/>
      </c>
      <c r="W32" s="326" t="s">
        <v>46</v>
      </c>
      <c r="X32" s="327"/>
      <c r="Y32" s="76">
        <f>LARGE(L32:L53,1)</f>
        <v>0</v>
      </c>
      <c r="Z32" s="192"/>
      <c r="AA32" s="323" t="s">
        <v>47</v>
      </c>
      <c r="AB32" s="330"/>
      <c r="AC32" s="76">
        <f>P7+2*Y32</f>
        <v>0</v>
      </c>
    </row>
    <row r="33" spans="2:29" x14ac:dyDescent="0.2">
      <c r="B33" s="126">
        <v>200</v>
      </c>
      <c r="C33" s="118">
        <v>12.5</v>
      </c>
      <c r="D33" s="39">
        <v>15.7</v>
      </c>
      <c r="E33" s="119">
        <v>30</v>
      </c>
      <c r="F33" s="120">
        <v>4</v>
      </c>
      <c r="G33" s="119">
        <v>63</v>
      </c>
      <c r="H33" s="127">
        <v>21</v>
      </c>
      <c r="I33" s="70">
        <v>324</v>
      </c>
      <c r="K33" s="90">
        <f t="shared" ref="K33:K53" si="22">IF(AND(H33&lt;=$P$7,I33&gt;=$P$7),1,0)</f>
        <v>0</v>
      </c>
      <c r="L33" s="91">
        <f t="shared" si="21"/>
        <v>0</v>
      </c>
      <c r="M33" s="90">
        <f t="shared" ref="M33:M53" si="23">IF(AND(H33&lt;=$P$7,I33&gt;=$P$7),1,100)</f>
        <v>100</v>
      </c>
      <c r="N33" s="91">
        <f t="shared" ref="N33:N53" si="24">C33*M33</f>
        <v>1250</v>
      </c>
      <c r="W33" s="326" t="s">
        <v>52</v>
      </c>
      <c r="X33" s="327"/>
      <c r="Y33" s="76">
        <f>SMALL(N32:N53,1)</f>
        <v>900</v>
      </c>
      <c r="Z33" s="192"/>
      <c r="AA33" s="323" t="s">
        <v>51</v>
      </c>
      <c r="AB33" s="330"/>
      <c r="AC33" s="76">
        <f>P7+2*Y33</f>
        <v>1800</v>
      </c>
    </row>
    <row r="34" spans="2:29" ht="13.5" thickBot="1" x14ac:dyDescent="0.25">
      <c r="B34" s="96">
        <v>100</v>
      </c>
      <c r="C34" s="109">
        <v>9</v>
      </c>
      <c r="D34" s="109">
        <v>12.5</v>
      </c>
      <c r="E34" s="110">
        <v>31</v>
      </c>
      <c r="F34" s="125">
        <v>4</v>
      </c>
      <c r="G34" s="110">
        <v>60</v>
      </c>
      <c r="H34" s="128">
        <v>27</v>
      </c>
      <c r="I34" s="113">
        <v>219</v>
      </c>
      <c r="K34" s="90">
        <f t="shared" si="22"/>
        <v>0</v>
      </c>
      <c r="L34" s="91">
        <f t="shared" si="21"/>
        <v>0</v>
      </c>
      <c r="M34" s="90">
        <f t="shared" si="23"/>
        <v>100</v>
      </c>
      <c r="N34" s="91">
        <f t="shared" si="24"/>
        <v>900</v>
      </c>
    </row>
    <row r="35" spans="2:29" ht="13.5" thickBot="1" x14ac:dyDescent="0.25">
      <c r="B35" s="126">
        <v>340</v>
      </c>
      <c r="C35" s="38">
        <v>25.5</v>
      </c>
      <c r="D35" s="39">
        <v>34</v>
      </c>
      <c r="E35" s="19">
        <v>41</v>
      </c>
      <c r="F35" s="67">
        <v>4</v>
      </c>
      <c r="G35" s="19">
        <v>100</v>
      </c>
      <c r="H35" s="78">
        <v>30</v>
      </c>
      <c r="I35" s="70">
        <v>324</v>
      </c>
      <c r="K35" s="90">
        <f t="shared" si="22"/>
        <v>0</v>
      </c>
      <c r="L35" s="91">
        <f t="shared" si="21"/>
        <v>0</v>
      </c>
      <c r="M35" s="90">
        <f t="shared" si="23"/>
        <v>100</v>
      </c>
      <c r="N35" s="91">
        <f t="shared" si="24"/>
        <v>2550</v>
      </c>
      <c r="T35" s="323" t="s">
        <v>55</v>
      </c>
      <c r="U35" s="324"/>
      <c r="V35" s="324"/>
      <c r="W35" s="331"/>
      <c r="X35" s="332"/>
      <c r="Y35" s="84"/>
      <c r="Z35" s="205" t="s">
        <v>132</v>
      </c>
    </row>
    <row r="36" spans="2:29" ht="13.5" thickBot="1" x14ac:dyDescent="0.25">
      <c r="B36" s="126">
        <v>315</v>
      </c>
      <c r="C36" s="38">
        <v>21.1</v>
      </c>
      <c r="D36" s="39">
        <v>26</v>
      </c>
      <c r="E36" s="19">
        <v>38</v>
      </c>
      <c r="F36" s="67">
        <v>5</v>
      </c>
      <c r="G36" s="19">
        <v>90</v>
      </c>
      <c r="H36" s="78">
        <v>37</v>
      </c>
      <c r="I36" s="70">
        <v>324</v>
      </c>
      <c r="K36" s="90">
        <f t="shared" si="22"/>
        <v>0</v>
      </c>
      <c r="L36" s="91">
        <f t="shared" si="21"/>
        <v>0</v>
      </c>
      <c r="M36" s="90">
        <f t="shared" si="23"/>
        <v>100</v>
      </c>
      <c r="N36" s="91">
        <f t="shared" si="24"/>
        <v>2110</v>
      </c>
      <c r="T36" s="326" t="s">
        <v>53</v>
      </c>
      <c r="U36" s="327"/>
      <c r="V36" s="147">
        <f>P9</f>
        <v>0</v>
      </c>
      <c r="W36" s="323" t="s">
        <v>94</v>
      </c>
      <c r="X36" s="330"/>
      <c r="Y36" s="192" t="str">
        <f>IF(SUM(AJ7:AJ28)=0,"",MIN(AJ7:AJ28))</f>
        <v/>
      </c>
      <c r="Z36" s="183" t="str">
        <f>VLOOKUP(Y36,AJ7:AK28,2)</f>
        <v/>
      </c>
    </row>
    <row r="37" spans="2:29" x14ac:dyDescent="0.2">
      <c r="B37" s="126">
        <v>360</v>
      </c>
      <c r="C37" s="38">
        <v>32</v>
      </c>
      <c r="D37" s="39">
        <v>42</v>
      </c>
      <c r="E37" s="19">
        <v>55</v>
      </c>
      <c r="F37" s="67">
        <v>5</v>
      </c>
      <c r="G37" s="19">
        <v>100</v>
      </c>
      <c r="H37" s="78">
        <v>40</v>
      </c>
      <c r="I37" s="70">
        <v>406</v>
      </c>
      <c r="K37" s="90">
        <f t="shared" si="22"/>
        <v>0</v>
      </c>
      <c r="L37" s="91">
        <f t="shared" si="21"/>
        <v>0</v>
      </c>
      <c r="M37" s="90">
        <f t="shared" si="23"/>
        <v>100</v>
      </c>
      <c r="N37" s="91">
        <f t="shared" si="24"/>
        <v>3200</v>
      </c>
      <c r="W37" s="326" t="s">
        <v>57</v>
      </c>
      <c r="X37" s="327"/>
      <c r="Y37" s="93" t="e">
        <f>LOOKUP(Y36,B7:B28,C7:C28)</f>
        <v>#N/A</v>
      </c>
      <c r="Z37" s="193"/>
      <c r="AA37" s="84" t="s">
        <v>3</v>
      </c>
    </row>
    <row r="38" spans="2:29" x14ac:dyDescent="0.2">
      <c r="B38" s="126">
        <v>300</v>
      </c>
      <c r="C38" s="38">
        <v>18</v>
      </c>
      <c r="D38" s="39">
        <v>22.5</v>
      </c>
      <c r="E38" s="19">
        <v>41</v>
      </c>
      <c r="F38" s="67">
        <v>5</v>
      </c>
      <c r="G38" s="19">
        <v>90</v>
      </c>
      <c r="H38" s="78">
        <v>45</v>
      </c>
      <c r="I38" s="70">
        <v>273</v>
      </c>
      <c r="K38" s="90">
        <f t="shared" si="22"/>
        <v>0</v>
      </c>
      <c r="L38" s="91">
        <f t="shared" si="21"/>
        <v>0</v>
      </c>
      <c r="M38" s="90">
        <f t="shared" si="23"/>
        <v>100</v>
      </c>
      <c r="N38" s="91">
        <f t="shared" si="24"/>
        <v>1800</v>
      </c>
      <c r="W38" s="326" t="s">
        <v>58</v>
      </c>
      <c r="X38" s="327"/>
      <c r="Y38" s="93" t="e">
        <f>LOOKUP(Y36,B7:B28,D7:D28)</f>
        <v>#N/A</v>
      </c>
      <c r="Z38" s="193"/>
      <c r="AA38" s="84" t="s">
        <v>3</v>
      </c>
    </row>
    <row r="39" spans="2:29" x14ac:dyDescent="0.2">
      <c r="B39" s="126">
        <v>265</v>
      </c>
      <c r="C39" s="38">
        <v>16</v>
      </c>
      <c r="D39" s="39">
        <v>20</v>
      </c>
      <c r="E39" s="19">
        <v>41</v>
      </c>
      <c r="F39" s="67">
        <v>5</v>
      </c>
      <c r="G39" s="19">
        <v>63</v>
      </c>
      <c r="H39" s="78">
        <v>50</v>
      </c>
      <c r="I39" s="70">
        <v>406</v>
      </c>
      <c r="K39" s="90">
        <f t="shared" si="22"/>
        <v>0</v>
      </c>
      <c r="L39" s="91">
        <f t="shared" si="21"/>
        <v>0</v>
      </c>
      <c r="M39" s="90">
        <f t="shared" si="23"/>
        <v>100</v>
      </c>
      <c r="N39" s="91">
        <f t="shared" si="24"/>
        <v>1600</v>
      </c>
      <c r="W39" s="326" t="s">
        <v>59</v>
      </c>
      <c r="X39" s="327"/>
      <c r="Y39" s="93" t="e">
        <f>LOOKUP(Y36,B7:B28,E7:E28)</f>
        <v>#N/A</v>
      </c>
      <c r="Z39" s="193"/>
      <c r="AA39" s="84" t="s">
        <v>3</v>
      </c>
    </row>
    <row r="40" spans="2:29" x14ac:dyDescent="0.2">
      <c r="B40" s="126">
        <v>310</v>
      </c>
      <c r="C40" s="38">
        <v>18</v>
      </c>
      <c r="D40" s="39">
        <v>22.5</v>
      </c>
      <c r="E40" s="19">
        <v>57</v>
      </c>
      <c r="F40" s="67">
        <v>5</v>
      </c>
      <c r="G40" s="19">
        <v>90</v>
      </c>
      <c r="H40" s="78">
        <v>60</v>
      </c>
      <c r="I40" s="70">
        <v>406</v>
      </c>
      <c r="K40" s="90">
        <f t="shared" si="22"/>
        <v>0</v>
      </c>
      <c r="L40" s="91">
        <f t="shared" si="21"/>
        <v>0</v>
      </c>
      <c r="M40" s="90">
        <f t="shared" si="23"/>
        <v>100</v>
      </c>
      <c r="N40" s="91">
        <f t="shared" si="24"/>
        <v>1800</v>
      </c>
      <c r="W40" s="326" t="s">
        <v>60</v>
      </c>
      <c r="X40" s="327"/>
      <c r="Y40" s="93" t="e">
        <f>LOOKUP(Y36,B7:B28,G7:G28)</f>
        <v>#N/A</v>
      </c>
      <c r="Z40" s="193"/>
      <c r="AA40" s="84" t="s">
        <v>3</v>
      </c>
    </row>
    <row r="41" spans="2:29" x14ac:dyDescent="0.2">
      <c r="B41" s="126">
        <v>410</v>
      </c>
      <c r="C41" s="38">
        <v>37</v>
      </c>
      <c r="D41" s="39">
        <v>48.5</v>
      </c>
      <c r="E41" s="19">
        <v>68</v>
      </c>
      <c r="F41" s="67">
        <v>5</v>
      </c>
      <c r="G41" s="19">
        <v>125</v>
      </c>
      <c r="H41" s="78">
        <v>60</v>
      </c>
      <c r="I41" s="70">
        <v>324</v>
      </c>
      <c r="K41" s="90">
        <f t="shared" si="22"/>
        <v>0</v>
      </c>
      <c r="L41" s="91">
        <f t="shared" si="21"/>
        <v>0</v>
      </c>
      <c r="M41" s="90">
        <f t="shared" si="23"/>
        <v>100</v>
      </c>
      <c r="N41" s="91">
        <f t="shared" si="24"/>
        <v>3700</v>
      </c>
      <c r="W41" s="326" t="s">
        <v>68</v>
      </c>
      <c r="X41" s="327"/>
      <c r="Y41" s="100" t="e">
        <f>LOOKUP(Y36,B7:B28,F7:F28)</f>
        <v>#N/A</v>
      </c>
      <c r="Z41" s="194"/>
    </row>
    <row r="42" spans="2:29" x14ac:dyDescent="0.2">
      <c r="B42" s="126">
        <v>475</v>
      </c>
      <c r="C42" s="38">
        <v>41</v>
      </c>
      <c r="D42" s="39">
        <v>48.5</v>
      </c>
      <c r="E42" s="19">
        <v>69</v>
      </c>
      <c r="F42" s="67">
        <v>5</v>
      </c>
      <c r="G42" s="19">
        <v>125</v>
      </c>
      <c r="H42" s="78">
        <v>60</v>
      </c>
      <c r="I42" s="70">
        <v>1220</v>
      </c>
      <c r="K42" s="90">
        <f t="shared" si="22"/>
        <v>0</v>
      </c>
      <c r="L42" s="91">
        <f t="shared" si="21"/>
        <v>0</v>
      </c>
      <c r="M42" s="90">
        <f t="shared" si="23"/>
        <v>100</v>
      </c>
      <c r="N42" s="91">
        <f t="shared" si="24"/>
        <v>4100</v>
      </c>
      <c r="W42" s="326" t="s">
        <v>69</v>
      </c>
      <c r="X42" s="327"/>
      <c r="Y42" s="100" t="e">
        <f>LOOKUP(Y36,B7:B28,J7:J28)</f>
        <v>#N/A</v>
      </c>
      <c r="Z42" s="194"/>
      <c r="AA42" s="84" t="s">
        <v>73</v>
      </c>
    </row>
    <row r="43" spans="2:29" x14ac:dyDescent="0.2">
      <c r="B43" s="126">
        <v>575</v>
      </c>
      <c r="C43" s="38">
        <v>48</v>
      </c>
      <c r="D43" s="39">
        <v>58</v>
      </c>
      <c r="E43" s="19">
        <v>79</v>
      </c>
      <c r="F43" s="67">
        <v>5</v>
      </c>
      <c r="G43" s="19">
        <v>140</v>
      </c>
      <c r="H43" s="78">
        <v>89</v>
      </c>
      <c r="I43" s="70">
        <v>1220</v>
      </c>
      <c r="K43" s="90">
        <f t="shared" si="22"/>
        <v>0</v>
      </c>
      <c r="L43" s="91">
        <f t="shared" si="21"/>
        <v>0</v>
      </c>
      <c r="M43" s="90">
        <f t="shared" si="23"/>
        <v>100</v>
      </c>
      <c r="N43" s="91">
        <f t="shared" si="24"/>
        <v>4800</v>
      </c>
      <c r="W43" s="326" t="s">
        <v>78</v>
      </c>
      <c r="X43" s="327"/>
      <c r="Y43" s="93" t="e">
        <f>LOOKUP(Y36,B7:B28,L7:L28)</f>
        <v>#N/A</v>
      </c>
      <c r="Z43" s="193"/>
      <c r="AA43" s="84" t="s">
        <v>76</v>
      </c>
    </row>
    <row r="44" spans="2:29" x14ac:dyDescent="0.2">
      <c r="B44" s="126">
        <v>625</v>
      </c>
      <c r="C44" s="38">
        <v>81</v>
      </c>
      <c r="D44" s="39">
        <v>98</v>
      </c>
      <c r="E44" s="19">
        <v>107</v>
      </c>
      <c r="F44" s="68">
        <v>5</v>
      </c>
      <c r="G44" s="19">
        <v>165</v>
      </c>
      <c r="H44" s="78">
        <v>89</v>
      </c>
      <c r="I44" s="70">
        <v>2000</v>
      </c>
      <c r="K44" s="90">
        <f t="shared" si="22"/>
        <v>0</v>
      </c>
      <c r="L44" s="91">
        <f t="shared" si="21"/>
        <v>0</v>
      </c>
      <c r="M44" s="90">
        <f t="shared" si="23"/>
        <v>100</v>
      </c>
      <c r="N44" s="91">
        <f t="shared" si="24"/>
        <v>8100</v>
      </c>
    </row>
    <row r="45" spans="2:29" x14ac:dyDescent="0.2">
      <c r="B45" s="126">
        <v>650</v>
      </c>
      <c r="C45" s="38">
        <v>69</v>
      </c>
      <c r="D45" s="39">
        <v>84</v>
      </c>
      <c r="E45" s="19">
        <v>107</v>
      </c>
      <c r="F45" s="67">
        <v>5</v>
      </c>
      <c r="G45" s="19">
        <v>165</v>
      </c>
      <c r="H45" s="78">
        <v>89</v>
      </c>
      <c r="I45" s="70">
        <v>2000</v>
      </c>
      <c r="K45" s="90">
        <f t="shared" si="22"/>
        <v>0</v>
      </c>
      <c r="L45" s="91">
        <f t="shared" si="21"/>
        <v>0</v>
      </c>
      <c r="M45" s="90">
        <f t="shared" si="23"/>
        <v>100</v>
      </c>
      <c r="N45" s="91">
        <f t="shared" si="24"/>
        <v>6900</v>
      </c>
      <c r="T45" s="323"/>
      <c r="U45" s="324"/>
      <c r="V45" s="324"/>
      <c r="W45" s="324"/>
      <c r="X45" s="325"/>
    </row>
    <row r="46" spans="2:29" x14ac:dyDescent="0.2">
      <c r="B46" s="126">
        <v>500</v>
      </c>
      <c r="C46" s="38">
        <v>60</v>
      </c>
      <c r="D46" s="39">
        <v>71.5</v>
      </c>
      <c r="E46" s="19">
        <v>100</v>
      </c>
      <c r="F46" s="68">
        <v>5</v>
      </c>
      <c r="G46" s="19">
        <v>140</v>
      </c>
      <c r="H46" s="78">
        <v>100</v>
      </c>
      <c r="I46" s="70">
        <v>1220</v>
      </c>
      <c r="K46" s="90">
        <f t="shared" si="22"/>
        <v>0</v>
      </c>
      <c r="L46" s="91">
        <f t="shared" si="21"/>
        <v>0</v>
      </c>
      <c r="M46" s="90">
        <f t="shared" si="23"/>
        <v>100</v>
      </c>
      <c r="N46" s="91">
        <f t="shared" si="24"/>
        <v>6000</v>
      </c>
    </row>
    <row r="47" spans="2:29" x14ac:dyDescent="0.2">
      <c r="B47" s="126">
        <v>325</v>
      </c>
      <c r="C47" s="38">
        <v>23.2</v>
      </c>
      <c r="D47" s="39">
        <v>30</v>
      </c>
      <c r="E47" s="19">
        <v>79</v>
      </c>
      <c r="F47" s="68">
        <v>6</v>
      </c>
      <c r="G47" s="19">
        <v>100</v>
      </c>
      <c r="H47" s="78">
        <v>133</v>
      </c>
      <c r="I47" s="70">
        <v>711</v>
      </c>
      <c r="K47" s="90">
        <f t="shared" si="22"/>
        <v>0</v>
      </c>
      <c r="L47" s="91">
        <f t="shared" si="21"/>
        <v>0</v>
      </c>
      <c r="M47" s="90">
        <f t="shared" si="23"/>
        <v>100</v>
      </c>
      <c r="N47" s="91">
        <f t="shared" si="24"/>
        <v>2320</v>
      </c>
    </row>
    <row r="48" spans="2:29" x14ac:dyDescent="0.2">
      <c r="B48" s="126">
        <v>525</v>
      </c>
      <c r="C48" s="38">
        <v>55</v>
      </c>
      <c r="D48" s="39">
        <v>63.5</v>
      </c>
      <c r="E48" s="19">
        <v>100</v>
      </c>
      <c r="F48" s="67">
        <v>6</v>
      </c>
      <c r="G48" s="19">
        <v>133</v>
      </c>
      <c r="H48" s="78">
        <v>133</v>
      </c>
      <c r="I48" s="70">
        <v>1220</v>
      </c>
      <c r="K48" s="90">
        <f t="shared" si="22"/>
        <v>0</v>
      </c>
      <c r="L48" s="91">
        <f t="shared" si="21"/>
        <v>0</v>
      </c>
      <c r="M48" s="90">
        <f t="shared" si="23"/>
        <v>100</v>
      </c>
      <c r="N48" s="91">
        <f t="shared" si="24"/>
        <v>5500</v>
      </c>
    </row>
    <row r="49" spans="1:14" x14ac:dyDescent="0.2">
      <c r="B49" s="126">
        <v>400</v>
      </c>
      <c r="C49" s="38">
        <v>36</v>
      </c>
      <c r="D49" s="39">
        <v>46</v>
      </c>
      <c r="E49" s="19">
        <v>93</v>
      </c>
      <c r="F49" s="68">
        <v>6</v>
      </c>
      <c r="G49" s="19">
        <v>125</v>
      </c>
      <c r="H49" s="78">
        <v>140</v>
      </c>
      <c r="I49" s="70">
        <v>1220</v>
      </c>
      <c r="K49" s="90">
        <f t="shared" si="22"/>
        <v>0</v>
      </c>
      <c r="L49" s="91">
        <f t="shared" si="21"/>
        <v>0</v>
      </c>
      <c r="M49" s="90">
        <f t="shared" si="23"/>
        <v>100</v>
      </c>
      <c r="N49" s="91">
        <f t="shared" si="24"/>
        <v>3600</v>
      </c>
    </row>
    <row r="50" spans="1:14" x14ac:dyDescent="0.2">
      <c r="B50" s="126">
        <v>440</v>
      </c>
      <c r="C50" s="38">
        <v>44</v>
      </c>
      <c r="D50" s="39">
        <v>55</v>
      </c>
      <c r="E50" s="19">
        <v>99</v>
      </c>
      <c r="F50" s="67">
        <v>6</v>
      </c>
      <c r="G50" s="19">
        <v>125</v>
      </c>
      <c r="H50" s="78">
        <v>140</v>
      </c>
      <c r="I50" s="70">
        <v>1220</v>
      </c>
      <c r="K50" s="90">
        <f t="shared" si="22"/>
        <v>0</v>
      </c>
      <c r="L50" s="91">
        <f t="shared" si="21"/>
        <v>0</v>
      </c>
      <c r="M50" s="90">
        <f t="shared" si="23"/>
        <v>100</v>
      </c>
      <c r="N50" s="91">
        <f t="shared" si="24"/>
        <v>4400</v>
      </c>
    </row>
    <row r="51" spans="1:14" x14ac:dyDescent="0.2">
      <c r="B51" s="126">
        <v>425</v>
      </c>
      <c r="C51" s="38">
        <v>28</v>
      </c>
      <c r="D51" s="39">
        <v>37</v>
      </c>
      <c r="E51" s="19">
        <v>93</v>
      </c>
      <c r="F51" s="67">
        <v>6</v>
      </c>
      <c r="G51" s="19">
        <v>125</v>
      </c>
      <c r="H51" s="78">
        <v>144</v>
      </c>
      <c r="I51" s="70">
        <v>1220</v>
      </c>
      <c r="K51" s="90">
        <f t="shared" si="22"/>
        <v>0</v>
      </c>
      <c r="L51" s="91">
        <f t="shared" si="21"/>
        <v>0</v>
      </c>
      <c r="M51" s="90">
        <f t="shared" si="23"/>
        <v>100</v>
      </c>
      <c r="N51" s="91">
        <f t="shared" si="24"/>
        <v>2800</v>
      </c>
    </row>
    <row r="52" spans="1:14" x14ac:dyDescent="0.2">
      <c r="B52" s="97">
        <v>615</v>
      </c>
      <c r="C52" s="38">
        <v>81</v>
      </c>
      <c r="D52" s="39">
        <v>98</v>
      </c>
      <c r="E52" s="19">
        <v>156</v>
      </c>
      <c r="F52" s="67">
        <v>6</v>
      </c>
      <c r="G52" s="19">
        <v>165</v>
      </c>
      <c r="H52" s="78">
        <v>219</v>
      </c>
      <c r="I52" s="70">
        <v>3000</v>
      </c>
      <c r="K52" s="90">
        <f t="shared" si="22"/>
        <v>0</v>
      </c>
      <c r="L52" s="91">
        <f t="shared" si="21"/>
        <v>0</v>
      </c>
      <c r="M52" s="90">
        <f t="shared" si="23"/>
        <v>100</v>
      </c>
      <c r="N52" s="91">
        <f t="shared" si="24"/>
        <v>8100</v>
      </c>
    </row>
    <row r="53" spans="1:14" x14ac:dyDescent="0.2">
      <c r="B53" s="126">
        <v>700</v>
      </c>
      <c r="C53" s="38">
        <v>95</v>
      </c>
      <c r="D53" s="39">
        <v>110</v>
      </c>
      <c r="E53" s="19">
        <v>156</v>
      </c>
      <c r="F53" s="67">
        <v>6</v>
      </c>
      <c r="G53" s="19">
        <v>165</v>
      </c>
      <c r="H53" s="78">
        <v>219</v>
      </c>
      <c r="I53" s="70">
        <v>3000</v>
      </c>
      <c r="K53" s="90">
        <f t="shared" si="22"/>
        <v>0</v>
      </c>
      <c r="L53" s="91">
        <f t="shared" si="21"/>
        <v>0</v>
      </c>
      <c r="M53" s="90">
        <f t="shared" si="23"/>
        <v>100</v>
      </c>
      <c r="N53" s="91">
        <f t="shared" si="24"/>
        <v>9500</v>
      </c>
    </row>
    <row r="56" spans="1:14" s="124" customFormat="1" ht="36" x14ac:dyDescent="0.2">
      <c r="A56" s="123" t="s">
        <v>65</v>
      </c>
      <c r="C56" s="333" t="s">
        <v>84</v>
      </c>
      <c r="D56" s="334"/>
      <c r="E56" s="148" t="s">
        <v>79</v>
      </c>
      <c r="G56" s="148" t="s">
        <v>85</v>
      </c>
      <c r="H56" s="328" t="s">
        <v>86</v>
      </c>
      <c r="I56" s="329"/>
    </row>
    <row r="57" spans="1:14" x14ac:dyDescent="0.2">
      <c r="B57" s="95" t="s">
        <v>37</v>
      </c>
      <c r="C57" s="1" t="s">
        <v>1</v>
      </c>
      <c r="D57" s="30" t="s">
        <v>2</v>
      </c>
      <c r="E57" s="108" t="s">
        <v>3</v>
      </c>
      <c r="F57" s="71" t="s">
        <v>35</v>
      </c>
      <c r="G57" s="108" t="s">
        <v>3</v>
      </c>
      <c r="H57" s="79" t="s">
        <v>1</v>
      </c>
      <c r="I57" s="98" t="s">
        <v>2</v>
      </c>
    </row>
    <row r="58" spans="1:14" x14ac:dyDescent="0.2">
      <c r="B58" s="126">
        <v>275</v>
      </c>
      <c r="C58" s="38">
        <v>16</v>
      </c>
      <c r="D58" s="39">
        <v>20</v>
      </c>
      <c r="E58" s="19">
        <v>26</v>
      </c>
      <c r="F58" s="68">
        <v>4</v>
      </c>
      <c r="G58" s="19">
        <v>63</v>
      </c>
      <c r="H58" s="80">
        <v>13</v>
      </c>
      <c r="I58" s="99">
        <v>90</v>
      </c>
    </row>
    <row r="59" spans="1:14" x14ac:dyDescent="0.2">
      <c r="B59" s="97">
        <v>100</v>
      </c>
      <c r="C59" s="109">
        <v>9</v>
      </c>
      <c r="D59" s="109">
        <v>12.5</v>
      </c>
      <c r="E59" s="110">
        <v>31</v>
      </c>
      <c r="F59" s="115">
        <v>4</v>
      </c>
      <c r="G59" s="110">
        <v>60</v>
      </c>
      <c r="H59" s="112">
        <v>27</v>
      </c>
      <c r="I59" s="130">
        <v>219</v>
      </c>
    </row>
    <row r="60" spans="1:14" x14ac:dyDescent="0.2">
      <c r="B60" s="129">
        <v>300</v>
      </c>
      <c r="C60" s="38">
        <v>18</v>
      </c>
      <c r="D60" s="39">
        <v>22.5</v>
      </c>
      <c r="E60" s="19">
        <v>41</v>
      </c>
      <c r="F60" s="72">
        <v>5</v>
      </c>
      <c r="G60" s="19">
        <v>90</v>
      </c>
      <c r="H60" s="80">
        <v>45</v>
      </c>
      <c r="I60" s="99">
        <v>273</v>
      </c>
    </row>
    <row r="61" spans="1:14" x14ac:dyDescent="0.2">
      <c r="B61" s="126">
        <v>200</v>
      </c>
      <c r="C61" s="118">
        <v>12.5</v>
      </c>
      <c r="D61" s="39">
        <v>15.7</v>
      </c>
      <c r="E61" s="119">
        <v>30</v>
      </c>
      <c r="F61" s="120">
        <v>4</v>
      </c>
      <c r="G61" s="119">
        <v>63</v>
      </c>
      <c r="H61" s="121">
        <v>21</v>
      </c>
      <c r="I61" s="99">
        <v>324</v>
      </c>
    </row>
    <row r="62" spans="1:14" x14ac:dyDescent="0.2">
      <c r="B62" s="126">
        <v>340</v>
      </c>
      <c r="C62" s="38">
        <v>25.5</v>
      </c>
      <c r="D62" s="39">
        <v>34</v>
      </c>
      <c r="E62" s="19">
        <v>41</v>
      </c>
      <c r="F62" s="67">
        <v>4</v>
      </c>
      <c r="G62" s="19">
        <v>100</v>
      </c>
      <c r="H62" s="80">
        <v>30</v>
      </c>
      <c r="I62" s="99">
        <v>324</v>
      </c>
    </row>
    <row r="63" spans="1:14" x14ac:dyDescent="0.2">
      <c r="B63" s="126">
        <v>315</v>
      </c>
      <c r="C63" s="38">
        <v>21.1</v>
      </c>
      <c r="D63" s="39">
        <v>26</v>
      </c>
      <c r="E63" s="19">
        <v>38</v>
      </c>
      <c r="F63" s="67">
        <v>5</v>
      </c>
      <c r="G63" s="19">
        <v>90</v>
      </c>
      <c r="H63" s="80">
        <v>37</v>
      </c>
      <c r="I63" s="99">
        <v>324</v>
      </c>
    </row>
    <row r="64" spans="1:14" x14ac:dyDescent="0.2">
      <c r="B64" s="126">
        <v>410</v>
      </c>
      <c r="C64" s="38">
        <v>37</v>
      </c>
      <c r="D64" s="39">
        <v>48.5</v>
      </c>
      <c r="E64" s="19">
        <v>68</v>
      </c>
      <c r="F64" s="67">
        <v>5</v>
      </c>
      <c r="G64" s="19">
        <v>125</v>
      </c>
      <c r="H64" s="80">
        <v>60</v>
      </c>
      <c r="I64" s="99">
        <v>324</v>
      </c>
    </row>
    <row r="65" spans="2:9" x14ac:dyDescent="0.2">
      <c r="B65" s="126">
        <v>360</v>
      </c>
      <c r="C65" s="38">
        <v>32</v>
      </c>
      <c r="D65" s="39">
        <v>42</v>
      </c>
      <c r="E65" s="19">
        <v>55</v>
      </c>
      <c r="F65" s="67">
        <v>5</v>
      </c>
      <c r="G65" s="19">
        <v>100</v>
      </c>
      <c r="H65" s="80">
        <v>40</v>
      </c>
      <c r="I65" s="99">
        <v>406</v>
      </c>
    </row>
    <row r="66" spans="2:9" x14ac:dyDescent="0.2">
      <c r="B66" s="126">
        <v>265</v>
      </c>
      <c r="C66" s="38">
        <v>16</v>
      </c>
      <c r="D66" s="39">
        <v>20</v>
      </c>
      <c r="E66" s="19">
        <v>41</v>
      </c>
      <c r="F66" s="67">
        <v>5</v>
      </c>
      <c r="G66" s="19">
        <v>63</v>
      </c>
      <c r="H66" s="80">
        <v>50</v>
      </c>
      <c r="I66" s="99">
        <v>406</v>
      </c>
    </row>
    <row r="67" spans="2:9" x14ac:dyDescent="0.2">
      <c r="B67" s="126">
        <v>310</v>
      </c>
      <c r="C67" s="38">
        <v>18</v>
      </c>
      <c r="D67" s="39">
        <v>22.5</v>
      </c>
      <c r="E67" s="19">
        <v>57</v>
      </c>
      <c r="F67" s="67">
        <v>5</v>
      </c>
      <c r="G67" s="19">
        <v>90</v>
      </c>
      <c r="H67" s="80">
        <v>60</v>
      </c>
      <c r="I67" s="99">
        <v>406</v>
      </c>
    </row>
    <row r="68" spans="2:9" x14ac:dyDescent="0.2">
      <c r="B68" s="126">
        <v>325</v>
      </c>
      <c r="C68" s="38">
        <v>23.2</v>
      </c>
      <c r="D68" s="39">
        <v>30</v>
      </c>
      <c r="E68" s="19">
        <v>79</v>
      </c>
      <c r="F68" s="68">
        <v>6</v>
      </c>
      <c r="G68" s="19">
        <v>100</v>
      </c>
      <c r="H68" s="80">
        <v>133</v>
      </c>
      <c r="I68" s="99">
        <v>711</v>
      </c>
    </row>
    <row r="69" spans="2:9" x14ac:dyDescent="0.2">
      <c r="B69" s="126">
        <v>475</v>
      </c>
      <c r="C69" s="38">
        <v>41</v>
      </c>
      <c r="D69" s="39">
        <v>48.5</v>
      </c>
      <c r="E69" s="19">
        <v>69</v>
      </c>
      <c r="F69" s="67">
        <v>5</v>
      </c>
      <c r="G69" s="19">
        <v>125</v>
      </c>
      <c r="H69" s="80">
        <v>60</v>
      </c>
      <c r="I69" s="99">
        <v>1220</v>
      </c>
    </row>
    <row r="70" spans="2:9" x14ac:dyDescent="0.2">
      <c r="B70" s="126">
        <v>575</v>
      </c>
      <c r="C70" s="38">
        <v>48</v>
      </c>
      <c r="D70" s="39">
        <v>58</v>
      </c>
      <c r="E70" s="19">
        <v>79</v>
      </c>
      <c r="F70" s="67">
        <v>5</v>
      </c>
      <c r="G70" s="19">
        <v>140</v>
      </c>
      <c r="H70" s="80">
        <v>89</v>
      </c>
      <c r="I70" s="99">
        <v>1220</v>
      </c>
    </row>
    <row r="71" spans="2:9" x14ac:dyDescent="0.2">
      <c r="B71" s="126">
        <v>500</v>
      </c>
      <c r="C71" s="38">
        <v>60</v>
      </c>
      <c r="D71" s="39">
        <v>71.5</v>
      </c>
      <c r="E71" s="19">
        <v>100</v>
      </c>
      <c r="F71" s="68">
        <v>5</v>
      </c>
      <c r="G71" s="19">
        <v>140</v>
      </c>
      <c r="H71" s="80">
        <v>100</v>
      </c>
      <c r="I71" s="99">
        <v>1220</v>
      </c>
    </row>
    <row r="72" spans="2:9" x14ac:dyDescent="0.2">
      <c r="B72" s="126">
        <v>525</v>
      </c>
      <c r="C72" s="38">
        <v>55</v>
      </c>
      <c r="D72" s="39">
        <v>63.5</v>
      </c>
      <c r="E72" s="19">
        <v>100</v>
      </c>
      <c r="F72" s="67">
        <v>6</v>
      </c>
      <c r="G72" s="19">
        <v>133</v>
      </c>
      <c r="H72" s="80">
        <v>133</v>
      </c>
      <c r="I72" s="99">
        <v>1220</v>
      </c>
    </row>
    <row r="73" spans="2:9" x14ac:dyDescent="0.2">
      <c r="B73" s="126">
        <v>400</v>
      </c>
      <c r="C73" s="38">
        <v>36</v>
      </c>
      <c r="D73" s="39">
        <v>46</v>
      </c>
      <c r="E73" s="19">
        <v>93</v>
      </c>
      <c r="F73" s="68">
        <v>6</v>
      </c>
      <c r="G73" s="19">
        <v>125</v>
      </c>
      <c r="H73" s="80">
        <v>140</v>
      </c>
      <c r="I73" s="99">
        <v>1220</v>
      </c>
    </row>
    <row r="74" spans="2:9" x14ac:dyDescent="0.2">
      <c r="B74" s="126">
        <v>440</v>
      </c>
      <c r="C74" s="38">
        <v>44</v>
      </c>
      <c r="D74" s="39">
        <v>55</v>
      </c>
      <c r="E74" s="19">
        <v>99</v>
      </c>
      <c r="F74" s="67">
        <v>6</v>
      </c>
      <c r="G74" s="19">
        <v>125</v>
      </c>
      <c r="H74" s="80">
        <v>140</v>
      </c>
      <c r="I74" s="99">
        <v>1220</v>
      </c>
    </row>
    <row r="75" spans="2:9" x14ac:dyDescent="0.2">
      <c r="B75" s="126">
        <v>425</v>
      </c>
      <c r="C75" s="38">
        <v>28</v>
      </c>
      <c r="D75" s="39">
        <v>37</v>
      </c>
      <c r="E75" s="19">
        <v>93</v>
      </c>
      <c r="F75" s="67">
        <v>6</v>
      </c>
      <c r="G75" s="19">
        <v>125</v>
      </c>
      <c r="H75" s="80">
        <v>144</v>
      </c>
      <c r="I75" s="99">
        <v>1220</v>
      </c>
    </row>
    <row r="76" spans="2:9" x14ac:dyDescent="0.2">
      <c r="B76" s="126">
        <v>625</v>
      </c>
      <c r="C76" s="38">
        <v>81</v>
      </c>
      <c r="D76" s="39">
        <v>98</v>
      </c>
      <c r="E76" s="19">
        <v>107</v>
      </c>
      <c r="F76" s="68">
        <v>5</v>
      </c>
      <c r="G76" s="19">
        <v>165</v>
      </c>
      <c r="H76" s="80">
        <v>89</v>
      </c>
      <c r="I76" s="99">
        <v>2000</v>
      </c>
    </row>
    <row r="77" spans="2:9" x14ac:dyDescent="0.2">
      <c r="B77" s="126">
        <v>650</v>
      </c>
      <c r="C77" s="38">
        <v>69</v>
      </c>
      <c r="D77" s="39">
        <v>84</v>
      </c>
      <c r="E77" s="19">
        <v>107</v>
      </c>
      <c r="F77" s="67">
        <v>5</v>
      </c>
      <c r="G77" s="19">
        <v>165</v>
      </c>
      <c r="H77" s="80">
        <v>89</v>
      </c>
      <c r="I77" s="99">
        <v>2000</v>
      </c>
    </row>
    <row r="78" spans="2:9" x14ac:dyDescent="0.2">
      <c r="B78" s="97">
        <v>615</v>
      </c>
      <c r="C78" s="38">
        <v>81</v>
      </c>
      <c r="D78" s="39">
        <v>98</v>
      </c>
      <c r="E78" s="19">
        <v>156</v>
      </c>
      <c r="F78" s="67">
        <v>6</v>
      </c>
      <c r="G78" s="19">
        <v>165</v>
      </c>
      <c r="H78" s="80">
        <v>219</v>
      </c>
      <c r="I78" s="99">
        <v>3000</v>
      </c>
    </row>
    <row r="79" spans="2:9" x14ac:dyDescent="0.2">
      <c r="B79" s="126">
        <v>700</v>
      </c>
      <c r="C79" s="38">
        <v>95</v>
      </c>
      <c r="D79" s="39">
        <v>110</v>
      </c>
      <c r="E79" s="19">
        <v>156</v>
      </c>
      <c r="F79" s="67">
        <v>6</v>
      </c>
      <c r="G79" s="19">
        <v>165</v>
      </c>
      <c r="H79" s="80">
        <v>219</v>
      </c>
      <c r="I79" s="99">
        <v>3000</v>
      </c>
    </row>
    <row r="82" spans="1:17" s="124" customFormat="1" ht="18" customHeight="1" x14ac:dyDescent="0.2">
      <c r="A82" s="123" t="s">
        <v>43</v>
      </c>
      <c r="C82" s="333" t="s">
        <v>84</v>
      </c>
      <c r="D82" s="334"/>
      <c r="E82" s="148" t="s">
        <v>79</v>
      </c>
      <c r="G82" s="148" t="s">
        <v>85</v>
      </c>
      <c r="H82" s="328" t="s">
        <v>86</v>
      </c>
      <c r="I82" s="329"/>
      <c r="K82" s="335" t="s">
        <v>71</v>
      </c>
      <c r="L82" s="336"/>
    </row>
    <row r="83" spans="1:17" ht="38.25" x14ac:dyDescent="0.2">
      <c r="B83" s="95" t="s">
        <v>37</v>
      </c>
      <c r="C83" s="77" t="s">
        <v>1</v>
      </c>
      <c r="D83" s="30" t="s">
        <v>2</v>
      </c>
      <c r="E83" s="108" t="s">
        <v>3</v>
      </c>
      <c r="F83" s="71" t="s">
        <v>35</v>
      </c>
      <c r="G83" s="108" t="s">
        <v>3</v>
      </c>
      <c r="H83" s="79" t="s">
        <v>1</v>
      </c>
      <c r="I83" s="138" t="s">
        <v>2</v>
      </c>
      <c r="K83" s="87" t="s">
        <v>50</v>
      </c>
      <c r="L83" s="87" t="s">
        <v>56</v>
      </c>
    </row>
    <row r="84" spans="1:17" x14ac:dyDescent="0.2">
      <c r="B84" s="97">
        <v>100</v>
      </c>
      <c r="C84" s="131">
        <v>9</v>
      </c>
      <c r="D84" s="109">
        <v>12.5</v>
      </c>
      <c r="E84" s="110">
        <v>31</v>
      </c>
      <c r="F84" s="115">
        <v>4</v>
      </c>
      <c r="G84" s="110">
        <v>60</v>
      </c>
      <c r="H84" s="112">
        <v>27</v>
      </c>
      <c r="I84" s="140">
        <v>219</v>
      </c>
      <c r="K84" s="90">
        <f t="shared" ref="K84:K105" si="25">IF(AND(H84&lt;=$L$112,I84&gt;=$L$112),1,0)</f>
        <v>1</v>
      </c>
      <c r="L84" s="92">
        <f t="shared" ref="L84:L105" si="26">IF(K84=1,C84,"")</f>
        <v>9</v>
      </c>
    </row>
    <row r="85" spans="1:17" x14ac:dyDescent="0.2">
      <c r="B85" s="126">
        <v>200</v>
      </c>
      <c r="C85" s="132">
        <v>12.5</v>
      </c>
      <c r="D85" s="39">
        <v>15.7</v>
      </c>
      <c r="E85" s="119">
        <v>30</v>
      </c>
      <c r="F85" s="120">
        <v>4</v>
      </c>
      <c r="G85" s="119">
        <v>63</v>
      </c>
      <c r="H85" s="121">
        <v>21</v>
      </c>
      <c r="I85" s="139">
        <v>324</v>
      </c>
      <c r="K85" s="90">
        <f t="shared" si="25"/>
        <v>1</v>
      </c>
      <c r="L85" s="92">
        <f t="shared" si="26"/>
        <v>12.5</v>
      </c>
    </row>
    <row r="86" spans="1:17" x14ac:dyDescent="0.2">
      <c r="B86" s="129">
        <v>275</v>
      </c>
      <c r="C86" s="83">
        <v>16</v>
      </c>
      <c r="D86" s="39">
        <v>20</v>
      </c>
      <c r="E86" s="19">
        <v>26</v>
      </c>
      <c r="F86" s="73">
        <v>4</v>
      </c>
      <c r="G86" s="19">
        <v>63</v>
      </c>
      <c r="H86" s="80">
        <v>13</v>
      </c>
      <c r="I86" s="139">
        <v>90</v>
      </c>
      <c r="K86" s="90">
        <f t="shared" si="25"/>
        <v>0</v>
      </c>
      <c r="L86" s="92" t="str">
        <f t="shared" si="26"/>
        <v/>
      </c>
    </row>
    <row r="87" spans="1:17" x14ac:dyDescent="0.2">
      <c r="B87" s="126">
        <v>265</v>
      </c>
      <c r="C87" s="83">
        <v>16</v>
      </c>
      <c r="D87" s="39">
        <v>20</v>
      </c>
      <c r="E87" s="19">
        <v>41</v>
      </c>
      <c r="F87" s="67">
        <v>5</v>
      </c>
      <c r="G87" s="19">
        <v>63</v>
      </c>
      <c r="H87" s="80">
        <v>50</v>
      </c>
      <c r="I87" s="139">
        <v>406</v>
      </c>
      <c r="K87" s="90">
        <f t="shared" si="25"/>
        <v>1</v>
      </c>
      <c r="L87" s="92">
        <f t="shared" si="26"/>
        <v>16</v>
      </c>
    </row>
    <row r="88" spans="1:17" x14ac:dyDescent="0.2">
      <c r="B88" s="126">
        <v>300</v>
      </c>
      <c r="C88" s="83">
        <v>18</v>
      </c>
      <c r="D88" s="39">
        <v>22.5</v>
      </c>
      <c r="E88" s="19">
        <v>41</v>
      </c>
      <c r="F88" s="67">
        <v>5</v>
      </c>
      <c r="G88" s="19">
        <v>90</v>
      </c>
      <c r="H88" s="80">
        <v>45</v>
      </c>
      <c r="I88" s="139">
        <v>273</v>
      </c>
      <c r="K88" s="90">
        <f t="shared" si="25"/>
        <v>1</v>
      </c>
      <c r="L88" s="92">
        <f t="shared" si="26"/>
        <v>18</v>
      </c>
    </row>
    <row r="89" spans="1:17" x14ac:dyDescent="0.2">
      <c r="B89" s="126">
        <v>310</v>
      </c>
      <c r="C89" s="83">
        <v>18</v>
      </c>
      <c r="D89" s="39">
        <v>22.5</v>
      </c>
      <c r="E89" s="19">
        <v>57</v>
      </c>
      <c r="F89" s="67">
        <v>5</v>
      </c>
      <c r="G89" s="19">
        <v>90</v>
      </c>
      <c r="H89" s="80">
        <v>60</v>
      </c>
      <c r="I89" s="139">
        <v>406</v>
      </c>
      <c r="K89" s="90">
        <f t="shared" si="25"/>
        <v>1</v>
      </c>
      <c r="L89" s="92">
        <f t="shared" si="26"/>
        <v>18</v>
      </c>
    </row>
    <row r="90" spans="1:17" x14ac:dyDescent="0.2">
      <c r="B90" s="126">
        <v>315</v>
      </c>
      <c r="C90" s="83">
        <v>21.1</v>
      </c>
      <c r="D90" s="39">
        <v>26</v>
      </c>
      <c r="E90" s="19">
        <v>38</v>
      </c>
      <c r="F90" s="67">
        <v>5</v>
      </c>
      <c r="G90" s="19">
        <v>90</v>
      </c>
      <c r="H90" s="80">
        <v>37</v>
      </c>
      <c r="I90" s="139">
        <v>324</v>
      </c>
      <c r="K90" s="90">
        <f t="shared" si="25"/>
        <v>1</v>
      </c>
      <c r="L90" s="92">
        <f t="shared" si="26"/>
        <v>21.1</v>
      </c>
    </row>
    <row r="91" spans="1:17" x14ac:dyDescent="0.2">
      <c r="B91" s="126">
        <v>325</v>
      </c>
      <c r="C91" s="83">
        <v>23.2</v>
      </c>
      <c r="D91" s="39">
        <v>30</v>
      </c>
      <c r="E91" s="19">
        <v>79</v>
      </c>
      <c r="F91" s="68">
        <v>6</v>
      </c>
      <c r="G91" s="19">
        <v>100</v>
      </c>
      <c r="H91" s="80">
        <v>133</v>
      </c>
      <c r="I91" s="139">
        <v>711</v>
      </c>
      <c r="K91" s="90">
        <f t="shared" si="25"/>
        <v>1</v>
      </c>
      <c r="L91" s="92">
        <f t="shared" si="26"/>
        <v>23.2</v>
      </c>
    </row>
    <row r="92" spans="1:17" x14ac:dyDescent="0.2">
      <c r="B92" s="126">
        <v>340</v>
      </c>
      <c r="C92" s="83">
        <v>25.5</v>
      </c>
      <c r="D92" s="39">
        <v>34</v>
      </c>
      <c r="E92" s="19">
        <v>41</v>
      </c>
      <c r="F92" s="67">
        <v>4</v>
      </c>
      <c r="G92" s="19">
        <v>100</v>
      </c>
      <c r="H92" s="80">
        <v>30</v>
      </c>
      <c r="I92" s="139">
        <v>324</v>
      </c>
      <c r="K92" s="90">
        <f t="shared" si="25"/>
        <v>1</v>
      </c>
      <c r="L92" s="92">
        <f t="shared" si="26"/>
        <v>25.5</v>
      </c>
    </row>
    <row r="93" spans="1:17" x14ac:dyDescent="0.2">
      <c r="B93" s="126">
        <v>425</v>
      </c>
      <c r="C93" s="83">
        <v>28</v>
      </c>
      <c r="D93" s="39">
        <v>37</v>
      </c>
      <c r="E93" s="19">
        <v>93</v>
      </c>
      <c r="F93" s="67">
        <v>6</v>
      </c>
      <c r="G93" s="19">
        <v>125</v>
      </c>
      <c r="H93" s="80">
        <v>144</v>
      </c>
      <c r="I93" s="139">
        <v>1220</v>
      </c>
      <c r="K93" s="90">
        <f t="shared" si="25"/>
        <v>1</v>
      </c>
      <c r="L93" s="92">
        <f t="shared" si="26"/>
        <v>28</v>
      </c>
    </row>
    <row r="94" spans="1:17" x14ac:dyDescent="0.2">
      <c r="B94" s="126">
        <v>360</v>
      </c>
      <c r="C94" s="83">
        <v>32</v>
      </c>
      <c r="D94" s="39">
        <v>42</v>
      </c>
      <c r="E94" s="19">
        <v>55</v>
      </c>
      <c r="F94" s="67">
        <v>5</v>
      </c>
      <c r="G94" s="19">
        <v>100</v>
      </c>
      <c r="H94" s="80">
        <v>40</v>
      </c>
      <c r="I94" s="139">
        <v>406</v>
      </c>
      <c r="K94" s="90">
        <f t="shared" si="25"/>
        <v>1</v>
      </c>
      <c r="L94" s="92">
        <f t="shared" si="26"/>
        <v>32</v>
      </c>
    </row>
    <row r="95" spans="1:17" x14ac:dyDescent="0.2">
      <c r="B95" s="126">
        <v>400</v>
      </c>
      <c r="C95" s="83">
        <v>36</v>
      </c>
      <c r="D95" s="39">
        <v>46</v>
      </c>
      <c r="E95" s="19">
        <v>93</v>
      </c>
      <c r="F95" s="68">
        <v>6</v>
      </c>
      <c r="G95" s="19">
        <v>125</v>
      </c>
      <c r="H95" s="80">
        <v>140</v>
      </c>
      <c r="I95" s="139">
        <v>1220</v>
      </c>
      <c r="K95" s="90">
        <f t="shared" si="25"/>
        <v>1</v>
      </c>
      <c r="L95" s="92">
        <f t="shared" si="26"/>
        <v>36</v>
      </c>
    </row>
    <row r="96" spans="1:17" x14ac:dyDescent="0.2">
      <c r="B96" s="126">
        <v>410</v>
      </c>
      <c r="C96" s="83">
        <v>37</v>
      </c>
      <c r="D96" s="39">
        <v>48.5</v>
      </c>
      <c r="E96" s="19">
        <v>68</v>
      </c>
      <c r="F96" s="67">
        <v>5</v>
      </c>
      <c r="G96" s="19">
        <v>125</v>
      </c>
      <c r="H96" s="80">
        <v>60</v>
      </c>
      <c r="I96" s="139">
        <v>324</v>
      </c>
      <c r="K96" s="90">
        <f t="shared" si="25"/>
        <v>1</v>
      </c>
      <c r="L96" s="92">
        <f t="shared" si="26"/>
        <v>37</v>
      </c>
      <c r="Q96">
        <f>LOOKUP(56,L84:L105)</f>
        <v>55</v>
      </c>
    </row>
    <row r="97" spans="1:23" x14ac:dyDescent="0.2">
      <c r="B97" s="126">
        <v>475</v>
      </c>
      <c r="C97" s="83">
        <v>41</v>
      </c>
      <c r="D97" s="39">
        <v>48.5</v>
      </c>
      <c r="E97" s="19">
        <v>69</v>
      </c>
      <c r="F97" s="67">
        <v>5</v>
      </c>
      <c r="G97" s="19">
        <v>125</v>
      </c>
      <c r="H97" s="80">
        <v>60</v>
      </c>
      <c r="I97" s="139">
        <v>1220</v>
      </c>
      <c r="K97" s="90">
        <f t="shared" si="25"/>
        <v>1</v>
      </c>
      <c r="L97" s="92">
        <f t="shared" si="26"/>
        <v>41</v>
      </c>
    </row>
    <row r="98" spans="1:23" x14ac:dyDescent="0.2">
      <c r="B98" s="126">
        <v>440</v>
      </c>
      <c r="C98" s="83">
        <v>44</v>
      </c>
      <c r="D98" s="39">
        <v>55</v>
      </c>
      <c r="E98" s="19">
        <v>99</v>
      </c>
      <c r="F98" s="67">
        <v>6</v>
      </c>
      <c r="G98" s="19">
        <v>125</v>
      </c>
      <c r="H98" s="80">
        <v>140</v>
      </c>
      <c r="I98" s="139">
        <v>1220</v>
      </c>
      <c r="K98" s="90">
        <f t="shared" si="25"/>
        <v>1</v>
      </c>
      <c r="L98" s="92">
        <f t="shared" si="26"/>
        <v>44</v>
      </c>
    </row>
    <row r="99" spans="1:23" x14ac:dyDescent="0.2">
      <c r="B99" s="126">
        <v>575</v>
      </c>
      <c r="C99" s="83">
        <v>48</v>
      </c>
      <c r="D99" s="39">
        <v>58</v>
      </c>
      <c r="E99" s="19">
        <v>79</v>
      </c>
      <c r="F99" s="67">
        <v>5</v>
      </c>
      <c r="G99" s="19">
        <v>140</v>
      </c>
      <c r="H99" s="80">
        <v>89</v>
      </c>
      <c r="I99" s="139">
        <v>1220</v>
      </c>
      <c r="K99" s="90">
        <f t="shared" si="25"/>
        <v>1</v>
      </c>
      <c r="L99" s="92">
        <f t="shared" si="26"/>
        <v>48</v>
      </c>
    </row>
    <row r="100" spans="1:23" x14ac:dyDescent="0.2">
      <c r="B100" s="126">
        <v>525</v>
      </c>
      <c r="C100" s="83">
        <v>55</v>
      </c>
      <c r="D100" s="39">
        <v>63.5</v>
      </c>
      <c r="E100" s="19">
        <v>100</v>
      </c>
      <c r="F100" s="67">
        <v>6</v>
      </c>
      <c r="G100" s="19">
        <v>133</v>
      </c>
      <c r="H100" s="80">
        <v>133</v>
      </c>
      <c r="I100" s="139">
        <v>1220</v>
      </c>
      <c r="K100" s="90">
        <f t="shared" si="25"/>
        <v>1</v>
      </c>
      <c r="L100" s="92">
        <f t="shared" si="26"/>
        <v>55</v>
      </c>
    </row>
    <row r="101" spans="1:23" x14ac:dyDescent="0.2">
      <c r="B101" s="126">
        <v>500</v>
      </c>
      <c r="C101" s="83">
        <v>60</v>
      </c>
      <c r="D101" s="39">
        <v>71.5</v>
      </c>
      <c r="E101" s="19">
        <v>100</v>
      </c>
      <c r="F101" s="68">
        <v>5</v>
      </c>
      <c r="G101" s="19">
        <v>140</v>
      </c>
      <c r="H101" s="80">
        <v>100</v>
      </c>
      <c r="I101" s="139">
        <v>1220</v>
      </c>
      <c r="K101" s="90">
        <f t="shared" si="25"/>
        <v>1</v>
      </c>
      <c r="L101" s="92">
        <f t="shared" si="26"/>
        <v>60</v>
      </c>
    </row>
    <row r="102" spans="1:23" x14ac:dyDescent="0.2">
      <c r="B102" s="126">
        <v>650</v>
      </c>
      <c r="C102" s="83">
        <v>69</v>
      </c>
      <c r="D102" s="39">
        <v>84</v>
      </c>
      <c r="E102" s="19">
        <v>107</v>
      </c>
      <c r="F102" s="67">
        <v>5</v>
      </c>
      <c r="G102" s="19">
        <v>165</v>
      </c>
      <c r="H102" s="80">
        <v>89</v>
      </c>
      <c r="I102" s="139">
        <v>2000</v>
      </c>
      <c r="K102" s="90">
        <f t="shared" si="25"/>
        <v>1</v>
      </c>
      <c r="L102" s="92">
        <f t="shared" si="26"/>
        <v>69</v>
      </c>
    </row>
    <row r="103" spans="1:23" x14ac:dyDescent="0.2">
      <c r="B103" s="126">
        <v>625</v>
      </c>
      <c r="C103" s="83">
        <v>81</v>
      </c>
      <c r="D103" s="39">
        <v>98</v>
      </c>
      <c r="E103" s="19">
        <v>107</v>
      </c>
      <c r="F103" s="68">
        <v>5</v>
      </c>
      <c r="G103" s="19">
        <v>165</v>
      </c>
      <c r="H103" s="80">
        <v>89</v>
      </c>
      <c r="I103" s="139">
        <v>2000</v>
      </c>
      <c r="K103" s="90">
        <f t="shared" si="25"/>
        <v>1</v>
      </c>
      <c r="L103" s="92">
        <f t="shared" si="26"/>
        <v>81</v>
      </c>
    </row>
    <row r="104" spans="1:23" x14ac:dyDescent="0.2">
      <c r="B104" s="97">
        <v>615</v>
      </c>
      <c r="C104" s="83">
        <v>81</v>
      </c>
      <c r="D104" s="39">
        <v>98</v>
      </c>
      <c r="E104" s="19">
        <v>156</v>
      </c>
      <c r="F104" s="67">
        <v>6</v>
      </c>
      <c r="G104" s="19">
        <v>165</v>
      </c>
      <c r="H104" s="80">
        <v>219</v>
      </c>
      <c r="I104" s="139">
        <v>3000</v>
      </c>
      <c r="K104" s="90">
        <f t="shared" si="25"/>
        <v>0</v>
      </c>
      <c r="L104" s="92" t="str">
        <f t="shared" si="26"/>
        <v/>
      </c>
    </row>
    <row r="105" spans="1:23" x14ac:dyDescent="0.2">
      <c r="B105" s="126">
        <v>700</v>
      </c>
      <c r="C105" s="83">
        <v>95</v>
      </c>
      <c r="D105" s="39">
        <v>110</v>
      </c>
      <c r="E105" s="19">
        <v>156</v>
      </c>
      <c r="F105" s="67">
        <v>6</v>
      </c>
      <c r="G105" s="19">
        <v>165</v>
      </c>
      <c r="H105" s="80">
        <v>219</v>
      </c>
      <c r="I105" s="139">
        <v>3000</v>
      </c>
      <c r="K105" s="90">
        <f t="shared" si="25"/>
        <v>0</v>
      </c>
      <c r="L105" s="92" t="str">
        <f t="shared" si="26"/>
        <v/>
      </c>
    </row>
    <row r="107" spans="1:23" s="124" customFormat="1" ht="18" customHeight="1" x14ac:dyDescent="0.2">
      <c r="A107" s="123" t="s">
        <v>44</v>
      </c>
      <c r="C107" s="333" t="s">
        <v>84</v>
      </c>
      <c r="D107" s="334"/>
      <c r="E107" s="148" t="s">
        <v>79</v>
      </c>
      <c r="G107" s="148" t="s">
        <v>85</v>
      </c>
      <c r="H107" s="328" t="s">
        <v>86</v>
      </c>
      <c r="I107" s="329"/>
    </row>
    <row r="108" spans="1:23" x14ac:dyDescent="0.2">
      <c r="B108" s="95" t="s">
        <v>37</v>
      </c>
      <c r="C108" s="79" t="s">
        <v>1</v>
      </c>
      <c r="D108" s="136" t="s">
        <v>2</v>
      </c>
      <c r="E108" s="108" t="s">
        <v>3</v>
      </c>
      <c r="F108" s="71" t="s">
        <v>35</v>
      </c>
      <c r="G108" s="108" t="s">
        <v>3</v>
      </c>
      <c r="H108" s="79" t="s">
        <v>1</v>
      </c>
      <c r="I108" s="138" t="s">
        <v>2</v>
      </c>
    </row>
    <row r="109" spans="1:23" x14ac:dyDescent="0.2">
      <c r="B109" s="97">
        <v>100</v>
      </c>
      <c r="C109" s="133">
        <v>9</v>
      </c>
      <c r="D109" s="131">
        <v>12.5</v>
      </c>
      <c r="E109" s="110">
        <v>31</v>
      </c>
      <c r="F109" s="115">
        <v>4</v>
      </c>
      <c r="G109" s="110">
        <v>60</v>
      </c>
      <c r="H109" s="112">
        <v>27</v>
      </c>
      <c r="I109" s="140">
        <v>219</v>
      </c>
    </row>
    <row r="110" spans="1:23" x14ac:dyDescent="0.2">
      <c r="B110" s="126">
        <v>200</v>
      </c>
      <c r="C110" s="134">
        <v>12.5</v>
      </c>
      <c r="D110" s="85">
        <v>15.7</v>
      </c>
      <c r="E110" s="119">
        <v>30</v>
      </c>
      <c r="F110" s="120">
        <v>4</v>
      </c>
      <c r="G110" s="119">
        <v>63</v>
      </c>
      <c r="H110" s="121">
        <v>21</v>
      </c>
      <c r="I110" s="139">
        <v>324</v>
      </c>
    </row>
    <row r="111" spans="1:23" x14ac:dyDescent="0.2">
      <c r="B111" s="129">
        <v>275</v>
      </c>
      <c r="C111" s="135">
        <v>16</v>
      </c>
      <c r="D111" s="85">
        <v>20</v>
      </c>
      <c r="E111" s="19">
        <v>26</v>
      </c>
      <c r="F111" s="73">
        <v>4</v>
      </c>
      <c r="G111" s="19">
        <v>63</v>
      </c>
      <c r="H111" s="80">
        <v>13</v>
      </c>
      <c r="I111" s="139">
        <v>90</v>
      </c>
      <c r="N111" s="323" t="s">
        <v>42</v>
      </c>
      <c r="O111" s="324"/>
      <c r="P111" s="324"/>
      <c r="Q111" s="324"/>
      <c r="R111" s="325"/>
    </row>
    <row r="112" spans="1:23" x14ac:dyDescent="0.2">
      <c r="B112" s="126">
        <v>265</v>
      </c>
      <c r="C112" s="135">
        <v>16</v>
      </c>
      <c r="D112" s="85">
        <v>20</v>
      </c>
      <c r="E112" s="19">
        <v>41</v>
      </c>
      <c r="F112" s="67">
        <v>5</v>
      </c>
      <c r="G112" s="19">
        <v>63</v>
      </c>
      <c r="H112" s="80">
        <v>50</v>
      </c>
      <c r="I112" s="139">
        <v>406</v>
      </c>
      <c r="K112" s="141" t="s">
        <v>39</v>
      </c>
      <c r="L112" s="86">
        <f>'Calcul IL'!C13</f>
        <v>168</v>
      </c>
      <c r="N112" s="323" t="s">
        <v>54</v>
      </c>
      <c r="O112" s="330"/>
      <c r="P112" s="147">
        <f>LOOKUP(L112,H32:H53,B32:B53)</f>
        <v>425</v>
      </c>
      <c r="Q112" s="326" t="s">
        <v>46</v>
      </c>
      <c r="R112" s="327"/>
      <c r="S112" s="76">
        <f>LARGE(L32:L53,1)</f>
        <v>0</v>
      </c>
      <c r="T112" s="192"/>
      <c r="U112" s="323" t="s">
        <v>47</v>
      </c>
      <c r="V112" s="330"/>
      <c r="W112" s="76">
        <f>L112+2*S112</f>
        <v>168</v>
      </c>
    </row>
    <row r="113" spans="2:23" x14ac:dyDescent="0.2">
      <c r="B113" s="126">
        <v>300</v>
      </c>
      <c r="C113" s="135">
        <v>18</v>
      </c>
      <c r="D113" s="85">
        <v>22.5</v>
      </c>
      <c r="E113" s="19">
        <v>41</v>
      </c>
      <c r="F113" s="67">
        <v>5</v>
      </c>
      <c r="G113" s="19">
        <v>90</v>
      </c>
      <c r="H113" s="80">
        <v>45</v>
      </c>
      <c r="I113" s="139">
        <v>273</v>
      </c>
      <c r="Q113" s="326" t="s">
        <v>52</v>
      </c>
      <c r="R113" s="327"/>
      <c r="S113" s="76">
        <f>SMALL(N32:N53,1)</f>
        <v>900</v>
      </c>
      <c r="T113" s="192"/>
      <c r="U113" s="323" t="s">
        <v>51</v>
      </c>
      <c r="V113" s="330"/>
      <c r="W113" s="76">
        <f>L112+2*S113</f>
        <v>1968</v>
      </c>
    </row>
    <row r="114" spans="2:23" x14ac:dyDescent="0.2">
      <c r="B114" s="126">
        <v>310</v>
      </c>
      <c r="C114" s="135">
        <v>18</v>
      </c>
      <c r="D114" s="85">
        <v>22.5</v>
      </c>
      <c r="E114" s="19">
        <v>57</v>
      </c>
      <c r="F114" s="67">
        <v>5</v>
      </c>
      <c r="G114" s="19">
        <v>90</v>
      </c>
      <c r="H114" s="80">
        <v>60</v>
      </c>
      <c r="I114" s="139">
        <v>406</v>
      </c>
    </row>
    <row r="115" spans="2:23" x14ac:dyDescent="0.2">
      <c r="B115" s="126">
        <v>315</v>
      </c>
      <c r="C115" s="135">
        <v>21.1</v>
      </c>
      <c r="D115" s="85">
        <v>26</v>
      </c>
      <c r="E115" s="19">
        <v>38</v>
      </c>
      <c r="F115" s="67">
        <v>5</v>
      </c>
      <c r="G115" s="19">
        <v>90</v>
      </c>
      <c r="H115" s="80">
        <v>37</v>
      </c>
      <c r="I115" s="139">
        <v>324</v>
      </c>
      <c r="K115" s="141" t="s">
        <v>40</v>
      </c>
      <c r="L115" s="94">
        <f>'Calcul IL'!E39</f>
        <v>250</v>
      </c>
      <c r="N115" s="323" t="s">
        <v>55</v>
      </c>
      <c r="O115" s="324"/>
      <c r="P115" s="324"/>
      <c r="Q115" s="331"/>
      <c r="R115" s="332"/>
      <c r="S115" s="84"/>
      <c r="T115" s="84"/>
    </row>
    <row r="116" spans="2:23" x14ac:dyDescent="0.2">
      <c r="B116" s="126">
        <v>325</v>
      </c>
      <c r="C116" s="135">
        <v>23.2</v>
      </c>
      <c r="D116" s="85">
        <v>30</v>
      </c>
      <c r="E116" s="19">
        <v>79</v>
      </c>
      <c r="F116" s="68">
        <v>6</v>
      </c>
      <c r="G116" s="19">
        <v>100</v>
      </c>
      <c r="H116" s="80">
        <v>133</v>
      </c>
      <c r="I116" s="139">
        <v>711</v>
      </c>
      <c r="N116" s="326" t="s">
        <v>53</v>
      </c>
      <c r="O116" s="327"/>
      <c r="P116" s="147">
        <f>(L115-L112)/2</f>
        <v>41</v>
      </c>
      <c r="Q116" s="323" t="s">
        <v>94</v>
      </c>
      <c r="R116" s="330"/>
      <c r="S116" s="76">
        <f>LOOKUP(P116,L84:L105,B84:B105)</f>
        <v>475</v>
      </c>
      <c r="T116" s="41"/>
    </row>
    <row r="117" spans="2:23" x14ac:dyDescent="0.2">
      <c r="B117" s="126">
        <v>340</v>
      </c>
      <c r="C117" s="135">
        <v>25.5</v>
      </c>
      <c r="D117" s="85">
        <v>34</v>
      </c>
      <c r="E117" s="19">
        <v>41</v>
      </c>
      <c r="F117" s="67">
        <v>4</v>
      </c>
      <c r="G117" s="19">
        <v>100</v>
      </c>
      <c r="H117" s="80">
        <v>30</v>
      </c>
      <c r="I117" s="139">
        <v>324</v>
      </c>
      <c r="K117" s="141" t="s">
        <v>41</v>
      </c>
      <c r="L117" s="86">
        <f>'Calcul IL'!C29</f>
        <v>200</v>
      </c>
      <c r="Q117" s="326" t="s">
        <v>57</v>
      </c>
      <c r="R117" s="327"/>
      <c r="S117" s="93">
        <f>LOOKUP(S116,B7:B28,C7:C28)</f>
        <v>41</v>
      </c>
      <c r="T117" s="193"/>
      <c r="U117" s="84" t="s">
        <v>3</v>
      </c>
    </row>
    <row r="118" spans="2:23" x14ac:dyDescent="0.2">
      <c r="B118" s="126">
        <v>425</v>
      </c>
      <c r="C118" s="135">
        <v>28</v>
      </c>
      <c r="D118" s="85">
        <v>37</v>
      </c>
      <c r="E118" s="19">
        <v>93</v>
      </c>
      <c r="F118" s="67">
        <v>6</v>
      </c>
      <c r="G118" s="19">
        <v>125</v>
      </c>
      <c r="H118" s="80">
        <v>144</v>
      </c>
      <c r="I118" s="139">
        <v>1220</v>
      </c>
      <c r="Q118" s="326" t="s">
        <v>58</v>
      </c>
      <c r="R118" s="327"/>
      <c r="S118" s="93">
        <f>LOOKUP(S116,B7:B28,D7:D28)</f>
        <v>48.5</v>
      </c>
      <c r="T118" s="193"/>
      <c r="U118" s="84" t="s">
        <v>3</v>
      </c>
    </row>
    <row r="119" spans="2:23" x14ac:dyDescent="0.2">
      <c r="B119" s="126">
        <v>360</v>
      </c>
      <c r="C119" s="135">
        <v>32</v>
      </c>
      <c r="D119" s="85">
        <v>42</v>
      </c>
      <c r="E119" s="19">
        <v>55</v>
      </c>
      <c r="F119" s="67">
        <v>5</v>
      </c>
      <c r="G119" s="19">
        <v>100</v>
      </c>
      <c r="H119" s="80">
        <v>40</v>
      </c>
      <c r="I119" s="139">
        <v>406</v>
      </c>
      <c r="Q119" s="326" t="s">
        <v>59</v>
      </c>
      <c r="R119" s="327"/>
      <c r="S119" s="93">
        <f>LOOKUP(S116,B7:B28,E7:E28)</f>
        <v>69</v>
      </c>
      <c r="T119" s="193"/>
      <c r="U119" s="84" t="s">
        <v>3</v>
      </c>
    </row>
    <row r="120" spans="2:23" x14ac:dyDescent="0.2">
      <c r="B120" s="126">
        <v>400</v>
      </c>
      <c r="C120" s="135">
        <v>36</v>
      </c>
      <c r="D120" s="85">
        <v>46</v>
      </c>
      <c r="E120" s="19">
        <v>93</v>
      </c>
      <c r="F120" s="68">
        <v>6</v>
      </c>
      <c r="G120" s="19">
        <v>125</v>
      </c>
      <c r="H120" s="80">
        <v>140</v>
      </c>
      <c r="I120" s="139">
        <v>1220</v>
      </c>
      <c r="Q120" s="358" t="s">
        <v>60</v>
      </c>
      <c r="R120" s="358"/>
      <c r="S120" s="92" t="str">
        <f>IF(S136="PB","",LOOKUP(S116,B7:B28,G7:G28))</f>
        <v/>
      </c>
      <c r="T120" s="193"/>
      <c r="U120" s="84" t="s">
        <v>3</v>
      </c>
    </row>
    <row r="121" spans="2:23" x14ac:dyDescent="0.2">
      <c r="B121" s="126">
        <v>410</v>
      </c>
      <c r="C121" s="135">
        <v>37</v>
      </c>
      <c r="D121" s="85">
        <v>48.5</v>
      </c>
      <c r="E121" s="19">
        <v>68</v>
      </c>
      <c r="F121" s="67">
        <v>5</v>
      </c>
      <c r="G121" s="19">
        <v>125</v>
      </c>
      <c r="H121" s="80">
        <v>60</v>
      </c>
      <c r="I121" s="139">
        <v>324</v>
      </c>
      <c r="Q121" s="326" t="s">
        <v>68</v>
      </c>
      <c r="R121" s="327"/>
      <c r="S121" s="100">
        <f>LOOKUP(S116,B7:B28,F7:F28)</f>
        <v>5</v>
      </c>
      <c r="T121" s="194"/>
    </row>
    <row r="122" spans="2:23" x14ac:dyDescent="0.2">
      <c r="B122" s="126">
        <v>475</v>
      </c>
      <c r="C122" s="135">
        <v>41</v>
      </c>
      <c r="D122" s="85">
        <v>48.5</v>
      </c>
      <c r="E122" s="19">
        <v>69</v>
      </c>
      <c r="F122" s="67">
        <v>5</v>
      </c>
      <c r="G122" s="19">
        <v>125</v>
      </c>
      <c r="H122" s="80">
        <v>60</v>
      </c>
      <c r="I122" s="139">
        <v>1220</v>
      </c>
      <c r="Q122" s="326" t="s">
        <v>69</v>
      </c>
      <c r="R122" s="327"/>
      <c r="S122" s="100">
        <f>LOOKUP(S116,B7:B28,J7:J28)</f>
        <v>12</v>
      </c>
      <c r="T122" s="194"/>
      <c r="U122" s="84" t="s">
        <v>73</v>
      </c>
    </row>
    <row r="123" spans="2:23" x14ac:dyDescent="0.2">
      <c r="B123" s="126">
        <v>440</v>
      </c>
      <c r="C123" s="135">
        <v>44</v>
      </c>
      <c r="D123" s="85">
        <v>55</v>
      </c>
      <c r="E123" s="19">
        <v>99</v>
      </c>
      <c r="F123" s="67">
        <v>6</v>
      </c>
      <c r="G123" s="19">
        <v>125</v>
      </c>
      <c r="H123" s="80">
        <v>140</v>
      </c>
      <c r="I123" s="139">
        <v>1220</v>
      </c>
      <c r="Q123" s="326" t="s">
        <v>78</v>
      </c>
      <c r="R123" s="327"/>
      <c r="S123" s="93">
        <f>LOOKUP(S116,B7:B28,L7:L28)</f>
        <v>0.40778999999999999</v>
      </c>
      <c r="T123" s="193"/>
      <c r="U123" s="84" t="s">
        <v>76</v>
      </c>
    </row>
    <row r="124" spans="2:23" x14ac:dyDescent="0.2">
      <c r="B124" s="126">
        <v>575</v>
      </c>
      <c r="C124" s="135">
        <v>48</v>
      </c>
      <c r="D124" s="85">
        <v>58</v>
      </c>
      <c r="E124" s="19">
        <v>79</v>
      </c>
      <c r="F124" s="67">
        <v>5</v>
      </c>
      <c r="G124" s="19">
        <v>140</v>
      </c>
      <c r="H124" s="80">
        <v>89</v>
      </c>
      <c r="I124" s="139">
        <v>1220</v>
      </c>
    </row>
    <row r="125" spans="2:23" x14ac:dyDescent="0.2">
      <c r="B125" s="126">
        <v>525</v>
      </c>
      <c r="C125" s="135">
        <v>55</v>
      </c>
      <c r="D125" s="85">
        <v>63.5</v>
      </c>
      <c r="E125" s="19">
        <v>100</v>
      </c>
      <c r="F125" s="67">
        <v>6</v>
      </c>
      <c r="G125" s="19">
        <v>133</v>
      </c>
      <c r="H125" s="80">
        <v>133</v>
      </c>
      <c r="I125" s="139">
        <v>1220</v>
      </c>
      <c r="N125" s="323" t="s">
        <v>61</v>
      </c>
      <c r="O125" s="324"/>
      <c r="P125" s="324"/>
      <c r="Q125" s="324"/>
      <c r="R125" s="325"/>
    </row>
    <row r="126" spans="2:23" x14ac:dyDescent="0.2">
      <c r="B126" s="126">
        <v>500</v>
      </c>
      <c r="C126" s="135">
        <v>60</v>
      </c>
      <c r="D126" s="85">
        <v>71.5</v>
      </c>
      <c r="E126" s="19">
        <v>100</v>
      </c>
      <c r="F126" s="68">
        <v>5</v>
      </c>
      <c r="G126" s="19">
        <v>140</v>
      </c>
      <c r="H126" s="80">
        <v>100</v>
      </c>
      <c r="I126" s="139">
        <v>1220</v>
      </c>
      <c r="K126" s="84" t="s">
        <v>62</v>
      </c>
      <c r="L126">
        <f>(L115+L112)/2*PI()</f>
        <v>656.59286460026681</v>
      </c>
      <c r="M126" s="84" t="s">
        <v>3</v>
      </c>
    </row>
    <row r="127" spans="2:23" x14ac:dyDescent="0.2">
      <c r="B127" s="126">
        <v>650</v>
      </c>
      <c r="C127" s="135">
        <v>69</v>
      </c>
      <c r="D127" s="85">
        <v>84</v>
      </c>
      <c r="E127" s="19">
        <v>107</v>
      </c>
      <c r="F127" s="67">
        <v>5</v>
      </c>
      <c r="G127" s="19">
        <v>165</v>
      </c>
      <c r="H127" s="80">
        <v>89</v>
      </c>
      <c r="I127" s="139">
        <v>2000</v>
      </c>
      <c r="K127" s="84" t="s">
        <v>63</v>
      </c>
      <c r="L127">
        <f>L126/S119</f>
        <v>9.5158386173951719</v>
      </c>
    </row>
    <row r="128" spans="2:23" x14ac:dyDescent="0.2">
      <c r="B128" s="126">
        <v>625</v>
      </c>
      <c r="C128" s="135">
        <v>81</v>
      </c>
      <c r="D128" s="85">
        <v>98</v>
      </c>
      <c r="E128" s="19">
        <v>107</v>
      </c>
      <c r="F128" s="68">
        <v>5</v>
      </c>
      <c r="G128" s="19">
        <v>165</v>
      </c>
      <c r="H128" s="80">
        <v>89</v>
      </c>
      <c r="I128" s="139">
        <v>2000</v>
      </c>
      <c r="K128" s="84" t="s">
        <v>64</v>
      </c>
      <c r="L128">
        <f>ROUNDDOWN(L127,0)</f>
        <v>9</v>
      </c>
    </row>
    <row r="129" spans="2:21" x14ac:dyDescent="0.2">
      <c r="B129" s="97">
        <v>615</v>
      </c>
      <c r="C129" s="135">
        <v>81</v>
      </c>
      <c r="D129" s="85">
        <v>98</v>
      </c>
      <c r="E129" s="19">
        <v>156</v>
      </c>
      <c r="F129" s="67">
        <v>6</v>
      </c>
      <c r="G129" s="19">
        <v>165</v>
      </c>
      <c r="H129" s="80">
        <v>219</v>
      </c>
      <c r="I129" s="139">
        <v>3000</v>
      </c>
      <c r="K129" s="84" t="s">
        <v>83</v>
      </c>
      <c r="L129">
        <f>IF(L127-L128&lt;=0.5,0,1)</f>
        <v>1</v>
      </c>
    </row>
    <row r="130" spans="2:21" x14ac:dyDescent="0.2">
      <c r="B130" s="126">
        <v>700</v>
      </c>
      <c r="C130" s="135">
        <v>95</v>
      </c>
      <c r="D130" s="85">
        <v>110</v>
      </c>
      <c r="E130" s="19">
        <v>156</v>
      </c>
      <c r="F130" s="67">
        <v>6</v>
      </c>
      <c r="G130" s="19">
        <v>165</v>
      </c>
      <c r="H130" s="80">
        <v>219</v>
      </c>
      <c r="I130" s="139">
        <v>3000</v>
      </c>
      <c r="K130" s="84" t="s">
        <v>72</v>
      </c>
      <c r="L130">
        <f>L128+L129</f>
        <v>10</v>
      </c>
    </row>
    <row r="131" spans="2:21" ht="13.5" thickBot="1" x14ac:dyDescent="0.25"/>
    <row r="132" spans="2:21" x14ac:dyDescent="0.2">
      <c r="J132" s="343" t="s">
        <v>96</v>
      </c>
      <c r="K132" s="344"/>
      <c r="L132" s="344"/>
      <c r="M132" s="157" t="s">
        <v>93</v>
      </c>
      <c r="N132" s="157"/>
      <c r="O132" s="149"/>
      <c r="P132" s="149"/>
      <c r="Q132" s="149"/>
      <c r="R132" s="149"/>
      <c r="S132" s="149"/>
      <c r="T132" s="149"/>
      <c r="U132" s="150"/>
    </row>
    <row r="133" spans="2:21" x14ac:dyDescent="0.2">
      <c r="J133" s="15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152"/>
    </row>
    <row r="134" spans="2:21" x14ac:dyDescent="0.2">
      <c r="J134" s="339" t="s">
        <v>95</v>
      </c>
      <c r="K134" s="340"/>
      <c r="L134" s="340"/>
      <c r="M134" s="153">
        <f>L130*S119</f>
        <v>690</v>
      </c>
      <c r="N134" s="341" t="s">
        <v>97</v>
      </c>
      <c r="O134" s="342"/>
      <c r="P134" s="342"/>
      <c r="Q134" s="163">
        <f>M134/PI()</f>
        <v>219.63382146681556</v>
      </c>
      <c r="R134" s="159" t="s">
        <v>98</v>
      </c>
      <c r="S134" s="41"/>
      <c r="T134" s="41"/>
      <c r="U134" s="162">
        <f>Q134+S117</f>
        <v>260.63382146681556</v>
      </c>
    </row>
    <row r="135" spans="2:21" ht="13.5" thickBot="1" x14ac:dyDescent="0.25">
      <c r="J135" s="160"/>
      <c r="K135" s="161"/>
      <c r="L135" s="161"/>
      <c r="M135" s="153" t="s">
        <v>3</v>
      </c>
      <c r="N135" s="41"/>
      <c r="O135" s="41"/>
      <c r="P135" s="41"/>
      <c r="Q135" s="158" t="s">
        <v>3</v>
      </c>
      <c r="R135" s="159"/>
      <c r="S135" s="41"/>
      <c r="T135" s="41"/>
      <c r="U135" s="164" t="s">
        <v>3</v>
      </c>
    </row>
    <row r="136" spans="2:21" x14ac:dyDescent="0.2">
      <c r="I136" s="74"/>
      <c r="J136" s="154"/>
      <c r="K136" s="41"/>
      <c r="L136" s="41"/>
      <c r="R136" s="349" t="s">
        <v>99</v>
      </c>
      <c r="S136" s="345" t="str">
        <f>IF(U134&gt;=L115,"PB","OK")</f>
        <v>PB</v>
      </c>
      <c r="T136" s="356"/>
      <c r="U136" s="346"/>
    </row>
    <row r="137" spans="2:21" ht="13.5" thickBot="1" x14ac:dyDescent="0.25">
      <c r="J137" s="155"/>
      <c r="K137" s="156"/>
      <c r="L137" s="156"/>
      <c r="M137" s="156"/>
      <c r="N137" s="156"/>
      <c r="O137" s="156"/>
      <c r="P137" s="156"/>
      <c r="Q137" s="156"/>
      <c r="R137" s="348"/>
      <c r="S137" s="347"/>
      <c r="T137" s="357"/>
      <c r="U137" s="348"/>
    </row>
  </sheetData>
  <mergeCells count="59">
    <mergeCell ref="C107:D107"/>
    <mergeCell ref="H107:I107"/>
    <mergeCell ref="C5:D5"/>
    <mergeCell ref="H5:I5"/>
    <mergeCell ref="K5:L5"/>
    <mergeCell ref="C30:D30"/>
    <mergeCell ref="H30:I30"/>
    <mergeCell ref="K30:N30"/>
    <mergeCell ref="C56:D56"/>
    <mergeCell ref="H56:I56"/>
    <mergeCell ref="C82:D82"/>
    <mergeCell ref="H82:I82"/>
    <mergeCell ref="K82:L82"/>
    <mergeCell ref="R136:R137"/>
    <mergeCell ref="S136:U137"/>
    <mergeCell ref="R3:Z3"/>
    <mergeCell ref="O5:P5"/>
    <mergeCell ref="W4:AA4"/>
    <mergeCell ref="W33:X33"/>
    <mergeCell ref="Q120:R120"/>
    <mergeCell ref="Q121:R121"/>
    <mergeCell ref="Q122:R122"/>
    <mergeCell ref="Q123:R123"/>
    <mergeCell ref="N125:R125"/>
    <mergeCell ref="N115:R115"/>
    <mergeCell ref="N116:O116"/>
    <mergeCell ref="Q116:R116"/>
    <mergeCell ref="Q117:R117"/>
    <mergeCell ref="Q118:R118"/>
    <mergeCell ref="T32:U32"/>
    <mergeCell ref="W32:X32"/>
    <mergeCell ref="AA32:AB32"/>
    <mergeCell ref="J134:L134"/>
    <mergeCell ref="N134:P134"/>
    <mergeCell ref="J132:L132"/>
    <mergeCell ref="Q119:R119"/>
    <mergeCell ref="N111:R111"/>
    <mergeCell ref="N112:O112"/>
    <mergeCell ref="Q112:R112"/>
    <mergeCell ref="U112:V112"/>
    <mergeCell ref="Q113:R113"/>
    <mergeCell ref="U113:V113"/>
    <mergeCell ref="T45:X45"/>
    <mergeCell ref="AA33:AB33"/>
    <mergeCell ref="T35:X35"/>
    <mergeCell ref="AE4:AF4"/>
    <mergeCell ref="S4:T4"/>
    <mergeCell ref="AH5:AI5"/>
    <mergeCell ref="W1:AA1"/>
    <mergeCell ref="T31:X31"/>
    <mergeCell ref="W40:X40"/>
    <mergeCell ref="W41:X41"/>
    <mergeCell ref="W42:X42"/>
    <mergeCell ref="W43:X43"/>
    <mergeCell ref="T36:U36"/>
    <mergeCell ref="W36:X36"/>
    <mergeCell ref="W37:X37"/>
    <mergeCell ref="W38:X38"/>
    <mergeCell ref="W39:X39"/>
  </mergeCells>
  <conditionalFormatting sqref="S7:V28 AC7:AD28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2:L51"/>
  <sheetViews>
    <sheetView zoomScaleNormal="100" workbookViewId="0">
      <selection activeCell="B20" sqref="B20"/>
    </sheetView>
  </sheetViews>
  <sheetFormatPr baseColWidth="10" defaultRowHeight="12.75" x14ac:dyDescent="0.2"/>
  <cols>
    <col min="5" max="5" width="17.28515625" customWidth="1"/>
  </cols>
  <sheetData>
    <row r="2" spans="2:12" ht="13.5" thickBot="1" x14ac:dyDescent="0.25"/>
    <row r="3" spans="2:12" ht="13.5" thickBot="1" x14ac:dyDescent="0.25">
      <c r="B3" s="207" t="s">
        <v>134</v>
      </c>
      <c r="C3" s="149"/>
      <c r="D3" s="149"/>
      <c r="E3" s="149"/>
      <c r="F3" s="149"/>
      <c r="G3" s="149"/>
      <c r="H3" s="150"/>
      <c r="I3" s="41"/>
    </row>
    <row r="4" spans="2:12" ht="13.5" thickBot="1" x14ac:dyDescent="0.25">
      <c r="B4" s="199" t="s">
        <v>135</v>
      </c>
      <c r="C4" s="210" t="s">
        <v>136</v>
      </c>
      <c r="D4" s="210"/>
      <c r="E4" s="210" t="s">
        <v>139</v>
      </c>
      <c r="F4" s="210" t="s">
        <v>137</v>
      </c>
      <c r="G4" s="210" t="s">
        <v>143</v>
      </c>
      <c r="H4" s="211" t="s">
        <v>138</v>
      </c>
      <c r="I4" s="208"/>
    </row>
    <row r="5" spans="2:12" x14ac:dyDescent="0.2">
      <c r="B5" s="151">
        <v>250</v>
      </c>
      <c r="C5" s="41">
        <v>210</v>
      </c>
      <c r="D5" s="41" t="str">
        <f>CONCATENATE(B5,C5)</f>
        <v>250210</v>
      </c>
      <c r="E5" s="208" t="s">
        <v>141</v>
      </c>
      <c r="F5" s="208" t="s">
        <v>140</v>
      </c>
      <c r="G5" s="212">
        <v>43384</v>
      </c>
      <c r="H5" s="209" t="s">
        <v>142</v>
      </c>
      <c r="I5" s="208"/>
    </row>
    <row r="6" spans="2:12" x14ac:dyDescent="0.2">
      <c r="B6" s="151">
        <v>700</v>
      </c>
      <c r="C6" s="41">
        <v>606</v>
      </c>
      <c r="D6" s="41" t="str">
        <f t="shared" ref="D6:D34" si="0">CONCATENATE(B6,C6)</f>
        <v>700606</v>
      </c>
      <c r="E6" s="208" t="s">
        <v>144</v>
      </c>
      <c r="F6" s="208" t="s">
        <v>140</v>
      </c>
      <c r="G6" s="213">
        <v>43391</v>
      </c>
      <c r="H6" s="209" t="s">
        <v>145</v>
      </c>
      <c r="I6" s="215" t="s">
        <v>150</v>
      </c>
    </row>
    <row r="7" spans="2:12" x14ac:dyDescent="0.2">
      <c r="B7" s="151">
        <v>160</v>
      </c>
      <c r="C7" s="41">
        <v>118</v>
      </c>
      <c r="D7" s="41" t="str">
        <f t="shared" si="0"/>
        <v>160118</v>
      </c>
      <c r="E7" s="208" t="s">
        <v>146</v>
      </c>
      <c r="F7" s="208" t="s">
        <v>140</v>
      </c>
      <c r="G7" s="213">
        <v>43388</v>
      </c>
      <c r="H7" s="209" t="s">
        <v>147</v>
      </c>
      <c r="I7" s="214" t="s">
        <v>148</v>
      </c>
      <c r="L7" s="216" t="s">
        <v>161</v>
      </c>
    </row>
    <row r="8" spans="2:12" x14ac:dyDescent="0.2">
      <c r="B8" s="151">
        <v>500</v>
      </c>
      <c r="C8" s="202">
        <v>430</v>
      </c>
      <c r="D8" s="41" t="str">
        <f t="shared" si="0"/>
        <v>500430</v>
      </c>
      <c r="E8" s="215" t="s">
        <v>149</v>
      </c>
      <c r="F8" s="215" t="s">
        <v>140</v>
      </c>
      <c r="G8" s="213">
        <v>43391</v>
      </c>
      <c r="H8" s="209" t="s">
        <v>145</v>
      </c>
      <c r="I8" s="215" t="s">
        <v>151</v>
      </c>
    </row>
    <row r="9" spans="2:12" x14ac:dyDescent="0.2">
      <c r="B9" s="151">
        <v>500</v>
      </c>
      <c r="C9" s="202">
        <v>429</v>
      </c>
      <c r="D9" s="41" t="str">
        <f t="shared" si="0"/>
        <v>500429</v>
      </c>
      <c r="E9" s="215" t="s">
        <v>149</v>
      </c>
      <c r="F9" s="215" t="s">
        <v>140</v>
      </c>
      <c r="G9" s="213">
        <v>43396</v>
      </c>
      <c r="H9" s="209" t="s">
        <v>145</v>
      </c>
      <c r="I9" s="215" t="s">
        <v>152</v>
      </c>
    </row>
    <row r="10" spans="2:12" x14ac:dyDescent="0.2">
      <c r="B10" s="151">
        <v>248</v>
      </c>
      <c r="C10" s="202">
        <v>200</v>
      </c>
      <c r="D10" s="41" t="str">
        <f t="shared" si="0"/>
        <v>248200</v>
      </c>
      <c r="E10" s="215" t="s">
        <v>153</v>
      </c>
      <c r="F10" s="215" t="s">
        <v>140</v>
      </c>
      <c r="G10" s="213">
        <v>43399</v>
      </c>
      <c r="H10" s="209" t="s">
        <v>145</v>
      </c>
      <c r="I10" s="215" t="s">
        <v>154</v>
      </c>
    </row>
    <row r="11" spans="2:12" x14ac:dyDescent="0.2">
      <c r="B11" s="151">
        <v>210</v>
      </c>
      <c r="C11" s="202">
        <v>125</v>
      </c>
      <c r="D11" s="41" t="str">
        <f t="shared" si="0"/>
        <v>210125</v>
      </c>
      <c r="E11" s="215" t="s">
        <v>156</v>
      </c>
      <c r="F11" s="215" t="s">
        <v>140</v>
      </c>
      <c r="G11" s="213">
        <v>43411</v>
      </c>
      <c r="H11" s="209" t="s">
        <v>155</v>
      </c>
      <c r="I11" s="215" t="s">
        <v>157</v>
      </c>
    </row>
    <row r="12" spans="2:12" x14ac:dyDescent="0.2">
      <c r="B12" s="151">
        <v>202</v>
      </c>
      <c r="C12" s="202">
        <v>156</v>
      </c>
      <c r="D12" s="41" t="str">
        <f t="shared" si="0"/>
        <v>202156</v>
      </c>
      <c r="E12" s="215" t="s">
        <v>158</v>
      </c>
      <c r="F12" s="215" t="s">
        <v>140</v>
      </c>
      <c r="G12" s="213">
        <v>43427</v>
      </c>
      <c r="H12" s="209" t="s">
        <v>159</v>
      </c>
      <c r="I12" s="215" t="s">
        <v>160</v>
      </c>
    </row>
    <row r="13" spans="2:12" x14ac:dyDescent="0.2">
      <c r="B13" s="151">
        <v>250</v>
      </c>
      <c r="C13" s="202">
        <v>200</v>
      </c>
      <c r="D13" s="41" t="str">
        <f t="shared" si="0"/>
        <v>250200</v>
      </c>
      <c r="E13" s="215" t="s">
        <v>162</v>
      </c>
      <c r="F13" s="215" t="s">
        <v>140</v>
      </c>
      <c r="G13" s="213">
        <v>43437</v>
      </c>
      <c r="H13" s="209" t="s">
        <v>142</v>
      </c>
      <c r="I13" s="215" t="s">
        <v>163</v>
      </c>
    </row>
    <row r="14" spans="2:12" x14ac:dyDescent="0.2">
      <c r="B14" s="151">
        <v>350</v>
      </c>
      <c r="C14" s="202">
        <v>315</v>
      </c>
      <c r="D14" s="41" t="str">
        <f t="shared" si="0"/>
        <v>350315</v>
      </c>
      <c r="E14" s="215" t="s">
        <v>164</v>
      </c>
      <c r="F14" s="215" t="s">
        <v>140</v>
      </c>
      <c r="G14" s="213">
        <v>43437</v>
      </c>
      <c r="H14" s="209" t="s">
        <v>142</v>
      </c>
      <c r="I14" s="215" t="s">
        <v>165</v>
      </c>
    </row>
    <row r="15" spans="2:12" x14ac:dyDescent="0.2">
      <c r="B15" s="151">
        <v>200</v>
      </c>
      <c r="C15" s="202">
        <v>168.3</v>
      </c>
      <c r="D15" s="41" t="str">
        <f t="shared" si="0"/>
        <v>200168,3</v>
      </c>
      <c r="E15" s="215" t="s">
        <v>233</v>
      </c>
      <c r="F15" s="215" t="s">
        <v>140</v>
      </c>
      <c r="G15" s="212" t="s">
        <v>232</v>
      </c>
      <c r="H15" s="209" t="s">
        <v>142</v>
      </c>
      <c r="I15" s="215" t="s">
        <v>168</v>
      </c>
    </row>
    <row r="16" spans="2:12" x14ac:dyDescent="0.2">
      <c r="B16" s="151">
        <v>140</v>
      </c>
      <c r="C16" s="202">
        <v>114.3</v>
      </c>
      <c r="D16" s="41" t="str">
        <f t="shared" si="0"/>
        <v>140114,3</v>
      </c>
      <c r="E16" s="215" t="s">
        <v>169</v>
      </c>
      <c r="F16" s="215" t="s">
        <v>140</v>
      </c>
      <c r="G16" s="213">
        <v>43437</v>
      </c>
      <c r="H16" s="209" t="s">
        <v>142</v>
      </c>
      <c r="I16" s="215" t="s">
        <v>170</v>
      </c>
    </row>
    <row r="17" spans="2:9" x14ac:dyDescent="0.2">
      <c r="B17" s="151">
        <v>80</v>
      </c>
      <c r="C17" s="202">
        <v>32</v>
      </c>
      <c r="D17" s="41" t="str">
        <f t="shared" si="0"/>
        <v>8032</v>
      </c>
      <c r="E17" s="215" t="s">
        <v>166</v>
      </c>
      <c r="F17" s="215" t="s">
        <v>167</v>
      </c>
      <c r="G17" s="213">
        <v>43437</v>
      </c>
      <c r="H17" s="209" t="s">
        <v>142</v>
      </c>
      <c r="I17" s="215" t="s">
        <v>171</v>
      </c>
    </row>
    <row r="18" spans="2:9" x14ac:dyDescent="0.2">
      <c r="B18" s="151">
        <v>100</v>
      </c>
      <c r="C18" s="202">
        <v>14</v>
      </c>
      <c r="D18" s="41" t="str">
        <f t="shared" si="0"/>
        <v>10014</v>
      </c>
      <c r="E18" s="215" t="s">
        <v>166</v>
      </c>
      <c r="F18" s="215" t="s">
        <v>167</v>
      </c>
      <c r="G18" s="213">
        <v>43437</v>
      </c>
      <c r="H18" s="209" t="s">
        <v>142</v>
      </c>
      <c r="I18" s="215" t="s">
        <v>172</v>
      </c>
    </row>
    <row r="19" spans="2:9" x14ac:dyDescent="0.2">
      <c r="B19" s="151">
        <v>150</v>
      </c>
      <c r="C19" s="202">
        <v>114</v>
      </c>
      <c r="D19" s="41" t="str">
        <f t="shared" si="0"/>
        <v>150114</v>
      </c>
      <c r="E19" s="215" t="s">
        <v>173</v>
      </c>
      <c r="F19" s="215" t="s">
        <v>140</v>
      </c>
      <c r="G19" s="213">
        <v>43437</v>
      </c>
      <c r="H19" s="209" t="s">
        <v>142</v>
      </c>
      <c r="I19" s="215" t="s">
        <v>174</v>
      </c>
    </row>
    <row r="20" spans="2:9" x14ac:dyDescent="0.2">
      <c r="B20" s="151">
        <v>400</v>
      </c>
      <c r="C20" s="202">
        <v>250</v>
      </c>
      <c r="D20" s="41" t="str">
        <f t="shared" si="0"/>
        <v>400250</v>
      </c>
      <c r="E20" s="215" t="s">
        <v>175</v>
      </c>
      <c r="F20" s="215" t="s">
        <v>167</v>
      </c>
      <c r="G20" s="213"/>
      <c r="H20" s="152"/>
      <c r="I20" s="41"/>
    </row>
    <row r="21" spans="2:9" x14ac:dyDescent="0.2">
      <c r="B21" s="151">
        <v>350</v>
      </c>
      <c r="C21" s="202">
        <v>315</v>
      </c>
      <c r="D21" s="41" t="str">
        <f t="shared" si="0"/>
        <v>350315</v>
      </c>
      <c r="E21" s="215" t="s">
        <v>164</v>
      </c>
      <c r="F21" s="215" t="s">
        <v>140</v>
      </c>
      <c r="G21" s="213">
        <v>43437</v>
      </c>
      <c r="H21" s="209" t="s">
        <v>159</v>
      </c>
      <c r="I21" s="215" t="s">
        <v>176</v>
      </c>
    </row>
    <row r="22" spans="2:9" x14ac:dyDescent="0.2">
      <c r="B22" s="151">
        <v>250</v>
      </c>
      <c r="C22" s="202">
        <v>125</v>
      </c>
      <c r="D22" s="41" t="str">
        <f t="shared" si="0"/>
        <v>250125</v>
      </c>
      <c r="E22" s="215" t="s">
        <v>177</v>
      </c>
      <c r="F22" s="215" t="s">
        <v>140</v>
      </c>
      <c r="G22" s="213">
        <v>43438</v>
      </c>
      <c r="H22" s="209" t="s">
        <v>145</v>
      </c>
      <c r="I22" s="215" t="s">
        <v>178</v>
      </c>
    </row>
    <row r="23" spans="2:9" x14ac:dyDescent="0.2">
      <c r="B23" s="151">
        <v>125</v>
      </c>
      <c r="C23" s="202">
        <v>90</v>
      </c>
      <c r="D23" s="41" t="str">
        <f t="shared" si="0"/>
        <v>12590</v>
      </c>
      <c r="E23" s="218" t="s">
        <v>179</v>
      </c>
      <c r="F23" s="215" t="s">
        <v>140</v>
      </c>
      <c r="G23" s="213">
        <v>43440</v>
      </c>
      <c r="H23" s="209" t="s">
        <v>145</v>
      </c>
      <c r="I23" s="215" t="s">
        <v>180</v>
      </c>
    </row>
    <row r="24" spans="2:9" x14ac:dyDescent="0.2">
      <c r="B24" s="151">
        <v>250</v>
      </c>
      <c r="C24" s="202">
        <v>219</v>
      </c>
      <c r="D24" s="202" t="str">
        <f t="shared" si="0"/>
        <v>250219</v>
      </c>
      <c r="E24" s="215" t="s">
        <v>181</v>
      </c>
      <c r="F24" s="215" t="s">
        <v>140</v>
      </c>
      <c r="G24" s="213">
        <v>43482</v>
      </c>
      <c r="H24" s="209" t="s">
        <v>145</v>
      </c>
      <c r="I24" s="215" t="s">
        <v>182</v>
      </c>
    </row>
    <row r="25" spans="2:9" x14ac:dyDescent="0.2">
      <c r="B25" s="151">
        <v>108</v>
      </c>
      <c r="C25" s="202">
        <v>63</v>
      </c>
      <c r="D25" s="41" t="str">
        <f t="shared" si="0"/>
        <v>10863</v>
      </c>
      <c r="E25" s="215" t="s">
        <v>183</v>
      </c>
      <c r="F25" s="215" t="s">
        <v>140</v>
      </c>
      <c r="G25" s="213">
        <v>43497</v>
      </c>
      <c r="H25" s="209" t="s">
        <v>145</v>
      </c>
      <c r="I25" s="215" t="s">
        <v>184</v>
      </c>
    </row>
    <row r="26" spans="2:9" x14ac:dyDescent="0.2">
      <c r="B26" s="151">
        <v>132</v>
      </c>
      <c r="C26" s="202">
        <v>100</v>
      </c>
      <c r="D26" s="41" t="str">
        <f t="shared" si="0"/>
        <v>132100</v>
      </c>
      <c r="E26" s="215" t="s">
        <v>185</v>
      </c>
      <c r="F26" s="215" t="s">
        <v>140</v>
      </c>
      <c r="G26" s="213">
        <v>43516</v>
      </c>
      <c r="H26" s="209" t="s">
        <v>145</v>
      </c>
      <c r="I26" s="215" t="s">
        <v>186</v>
      </c>
    </row>
    <row r="27" spans="2:9" x14ac:dyDescent="0.2">
      <c r="B27" s="151">
        <v>160</v>
      </c>
      <c r="C27" s="202">
        <v>125</v>
      </c>
      <c r="D27" s="41" t="str">
        <f t="shared" si="0"/>
        <v>160125</v>
      </c>
      <c r="E27" s="215" t="s">
        <v>187</v>
      </c>
      <c r="F27" s="215" t="s">
        <v>140</v>
      </c>
      <c r="G27" s="213">
        <v>43516</v>
      </c>
      <c r="H27" s="152" t="s">
        <v>188</v>
      </c>
      <c r="I27" s="219" t="s">
        <v>189</v>
      </c>
    </row>
    <row r="28" spans="2:9" x14ac:dyDescent="0.2">
      <c r="B28" s="151">
        <v>250</v>
      </c>
      <c r="C28" s="202">
        <v>225</v>
      </c>
      <c r="D28" s="41" t="str">
        <f t="shared" si="0"/>
        <v>250225</v>
      </c>
      <c r="E28" s="215" t="s">
        <v>181</v>
      </c>
      <c r="F28" s="215" t="s">
        <v>140</v>
      </c>
      <c r="G28" s="213">
        <v>43531</v>
      </c>
      <c r="H28" s="209" t="s">
        <v>145</v>
      </c>
      <c r="I28" s="215" t="s">
        <v>190</v>
      </c>
    </row>
    <row r="29" spans="2:9" x14ac:dyDescent="0.2">
      <c r="B29" s="151">
        <v>248</v>
      </c>
      <c r="C29" s="202">
        <v>222</v>
      </c>
      <c r="D29" s="41" t="str">
        <f t="shared" si="0"/>
        <v>248222</v>
      </c>
      <c r="E29" s="215" t="s">
        <v>191</v>
      </c>
      <c r="F29" s="215" t="s">
        <v>140</v>
      </c>
      <c r="G29" s="213">
        <v>43535</v>
      </c>
      <c r="H29" s="209" t="s">
        <v>145</v>
      </c>
      <c r="I29" s="215" t="s">
        <v>192</v>
      </c>
    </row>
    <row r="30" spans="2:9" x14ac:dyDescent="0.2">
      <c r="B30" s="151">
        <v>315</v>
      </c>
      <c r="C30" s="202">
        <v>280</v>
      </c>
      <c r="D30" s="41" t="str">
        <f t="shared" si="0"/>
        <v>315280</v>
      </c>
      <c r="E30" s="215" t="s">
        <v>193</v>
      </c>
      <c r="F30" s="215" t="s">
        <v>140</v>
      </c>
      <c r="G30" s="213">
        <v>43536</v>
      </c>
      <c r="H30" s="209" t="s">
        <v>194</v>
      </c>
      <c r="I30" s="215" t="s">
        <v>192</v>
      </c>
    </row>
    <row r="31" spans="2:9" x14ac:dyDescent="0.2">
      <c r="B31" s="151">
        <v>400</v>
      </c>
      <c r="C31" s="202">
        <v>350</v>
      </c>
      <c r="D31" s="41" t="str">
        <f t="shared" si="0"/>
        <v>400350</v>
      </c>
      <c r="E31" s="215" t="s">
        <v>195</v>
      </c>
      <c r="F31" s="215" t="s">
        <v>140</v>
      </c>
      <c r="G31" s="213">
        <v>43543</v>
      </c>
      <c r="H31" s="209" t="s">
        <v>145</v>
      </c>
      <c r="I31" s="215" t="s">
        <v>196</v>
      </c>
    </row>
    <row r="32" spans="2:9" x14ac:dyDescent="0.2">
      <c r="B32" s="151">
        <v>90</v>
      </c>
      <c r="C32" s="202">
        <v>103</v>
      </c>
      <c r="D32" s="41" t="str">
        <f t="shared" si="0"/>
        <v>90103</v>
      </c>
      <c r="E32" s="215" t="s">
        <v>197</v>
      </c>
      <c r="F32" s="215" t="s">
        <v>167</v>
      </c>
      <c r="G32" s="213">
        <v>43560</v>
      </c>
      <c r="H32" s="209" t="s">
        <v>155</v>
      </c>
      <c r="I32" s="215" t="s">
        <v>198</v>
      </c>
    </row>
    <row r="33" spans="2:9" x14ac:dyDescent="0.2">
      <c r="B33" s="151">
        <v>76</v>
      </c>
      <c r="C33" s="202">
        <v>103</v>
      </c>
      <c r="D33" s="41" t="str">
        <f t="shared" si="0"/>
        <v>76103</v>
      </c>
      <c r="E33" s="215" t="s">
        <v>199</v>
      </c>
      <c r="F33" s="215" t="s">
        <v>140</v>
      </c>
      <c r="G33" s="213">
        <v>43560</v>
      </c>
      <c r="H33" s="209" t="s">
        <v>155</v>
      </c>
      <c r="I33" s="215" t="s">
        <v>200</v>
      </c>
    </row>
    <row r="34" spans="2:9" ht="13.5" thickBot="1" x14ac:dyDescent="0.25">
      <c r="B34" s="155">
        <v>250</v>
      </c>
      <c r="C34" s="156">
        <v>223</v>
      </c>
      <c r="D34" s="41" t="str">
        <f t="shared" si="0"/>
        <v>250223</v>
      </c>
      <c r="E34" s="220" t="s">
        <v>181</v>
      </c>
      <c r="F34" s="220" t="s">
        <v>140</v>
      </c>
      <c r="G34" s="221">
        <v>43563</v>
      </c>
      <c r="H34" s="222" t="s">
        <v>145</v>
      </c>
      <c r="I34" s="215" t="s">
        <v>201</v>
      </c>
    </row>
    <row r="35" spans="2:9" x14ac:dyDescent="0.2">
      <c r="B35" s="223">
        <v>138</v>
      </c>
      <c r="C35" s="202">
        <v>117.8</v>
      </c>
      <c r="D35" s="202" t="str">
        <f>CONCATENATE(B35,C35)</f>
        <v>138117,8</v>
      </c>
      <c r="E35" s="215" t="s">
        <v>202</v>
      </c>
      <c r="F35" s="215" t="s">
        <v>140</v>
      </c>
      <c r="G35" s="224">
        <v>43587</v>
      </c>
      <c r="H35" s="225" t="s">
        <v>155</v>
      </c>
      <c r="I35" s="215" t="s">
        <v>203</v>
      </c>
    </row>
    <row r="36" spans="2:9" x14ac:dyDescent="0.2">
      <c r="B36" s="223">
        <v>147</v>
      </c>
      <c r="C36" s="202">
        <v>125</v>
      </c>
      <c r="D36" s="202" t="str">
        <f>CONCATENATE(B36,C36)</f>
        <v>147125</v>
      </c>
      <c r="E36" s="215" t="s">
        <v>204</v>
      </c>
      <c r="F36" s="215" t="s">
        <v>140</v>
      </c>
      <c r="G36" s="224">
        <v>43601</v>
      </c>
      <c r="H36" s="225" t="s">
        <v>145</v>
      </c>
      <c r="I36" s="215" t="s">
        <v>205</v>
      </c>
    </row>
    <row r="37" spans="2:9" x14ac:dyDescent="0.2">
      <c r="B37" s="223">
        <v>550</v>
      </c>
      <c r="C37" s="202">
        <v>500</v>
      </c>
      <c r="D37" s="226" t="str">
        <f>CONCATENATE(B37,C37)</f>
        <v>550500</v>
      </c>
      <c r="E37" s="215" t="s">
        <v>207</v>
      </c>
      <c r="F37" s="215" t="s">
        <v>140</v>
      </c>
      <c r="G37" s="224">
        <v>43675</v>
      </c>
      <c r="H37" s="225" t="s">
        <v>145</v>
      </c>
      <c r="I37" s="215" t="s">
        <v>206</v>
      </c>
    </row>
    <row r="38" spans="2:9" x14ac:dyDescent="0.2">
      <c r="B38" s="223">
        <v>142</v>
      </c>
      <c r="C38" s="202">
        <v>90</v>
      </c>
      <c r="D38" s="226" t="str">
        <f t="shared" ref="D38:D42" si="1">CONCATENATE(B38,C38)</f>
        <v>14290</v>
      </c>
      <c r="E38" s="215" t="s">
        <v>208</v>
      </c>
      <c r="F38" s="215" t="s">
        <v>140</v>
      </c>
      <c r="G38" s="224">
        <v>43678</v>
      </c>
      <c r="H38" s="225" t="s">
        <v>145</v>
      </c>
      <c r="I38" s="215" t="s">
        <v>209</v>
      </c>
    </row>
    <row r="39" spans="2:9" x14ac:dyDescent="0.2">
      <c r="B39" s="223">
        <v>450</v>
      </c>
      <c r="C39" s="202">
        <v>400</v>
      </c>
      <c r="D39" s="226" t="str">
        <f t="shared" si="1"/>
        <v>450400</v>
      </c>
      <c r="E39" s="215" t="s">
        <v>210</v>
      </c>
      <c r="F39" s="215" t="s">
        <v>211</v>
      </c>
      <c r="G39" s="224">
        <v>43755</v>
      </c>
      <c r="H39" s="225" t="s">
        <v>145</v>
      </c>
      <c r="I39" s="215" t="s">
        <v>229</v>
      </c>
    </row>
    <row r="40" spans="2:9" x14ac:dyDescent="0.2">
      <c r="B40" s="223">
        <v>110</v>
      </c>
      <c r="C40" s="202">
        <v>76</v>
      </c>
      <c r="D40" s="226" t="str">
        <f t="shared" si="1"/>
        <v>11076</v>
      </c>
      <c r="E40" s="215" t="s">
        <v>212</v>
      </c>
      <c r="F40" s="215" t="s">
        <v>140</v>
      </c>
      <c r="G40" s="224">
        <v>43760</v>
      </c>
      <c r="H40" s="225" t="s">
        <v>155</v>
      </c>
      <c r="I40" s="215" t="s">
        <v>213</v>
      </c>
    </row>
    <row r="41" spans="2:9" x14ac:dyDescent="0.2">
      <c r="B41" s="223">
        <v>160</v>
      </c>
      <c r="C41" s="202">
        <v>140</v>
      </c>
      <c r="D41" s="226" t="str">
        <f t="shared" si="1"/>
        <v>160140</v>
      </c>
      <c r="E41" s="215" t="s">
        <v>214</v>
      </c>
      <c r="F41" s="215" t="s">
        <v>140</v>
      </c>
      <c r="G41" s="224">
        <v>43763</v>
      </c>
      <c r="H41" s="225" t="s">
        <v>155</v>
      </c>
      <c r="I41" s="215" t="s">
        <v>215</v>
      </c>
    </row>
    <row r="42" spans="2:9" x14ac:dyDescent="0.2">
      <c r="B42" s="223">
        <v>160</v>
      </c>
      <c r="C42" s="202">
        <v>114.3</v>
      </c>
      <c r="D42" s="226" t="str">
        <f t="shared" si="1"/>
        <v>160114,3</v>
      </c>
      <c r="E42" s="215" t="s">
        <v>216</v>
      </c>
      <c r="F42" s="215" t="s">
        <v>140</v>
      </c>
      <c r="G42" s="224">
        <v>43768</v>
      </c>
      <c r="H42" s="225" t="s">
        <v>155</v>
      </c>
      <c r="I42" s="215" t="s">
        <v>217</v>
      </c>
    </row>
    <row r="43" spans="2:9" x14ac:dyDescent="0.2">
      <c r="B43" s="223">
        <v>110</v>
      </c>
      <c r="C43" s="202">
        <v>76.099999999999994</v>
      </c>
      <c r="D43" s="226" t="str">
        <f t="shared" ref="D43:D51" si="2">CONCATENATE(B43,C43)</f>
        <v>11076,1</v>
      </c>
      <c r="E43" s="215" t="s">
        <v>212</v>
      </c>
      <c r="F43" s="215" t="s">
        <v>140</v>
      </c>
      <c r="G43" s="224">
        <v>43768</v>
      </c>
      <c r="H43" s="225" t="s">
        <v>155</v>
      </c>
      <c r="I43" s="215" t="s">
        <v>217</v>
      </c>
    </row>
    <row r="44" spans="2:9" x14ac:dyDescent="0.2">
      <c r="B44" s="223">
        <v>60</v>
      </c>
      <c r="C44" s="202">
        <v>33.700000000000003</v>
      </c>
      <c r="D44" s="226" t="str">
        <f t="shared" si="2"/>
        <v>6033,7</v>
      </c>
      <c r="E44" s="215" t="s">
        <v>218</v>
      </c>
      <c r="F44" s="215" t="s">
        <v>140</v>
      </c>
      <c r="G44" s="224">
        <v>43768</v>
      </c>
      <c r="H44" s="225" t="s">
        <v>155</v>
      </c>
      <c r="I44" s="215" t="s">
        <v>219</v>
      </c>
    </row>
    <row r="45" spans="2:9" x14ac:dyDescent="0.2">
      <c r="B45" s="223">
        <v>500</v>
      </c>
      <c r="C45" s="202">
        <v>428</v>
      </c>
      <c r="D45" s="226" t="str">
        <f t="shared" si="2"/>
        <v>500428</v>
      </c>
      <c r="E45" s="215" t="s">
        <v>149</v>
      </c>
      <c r="F45" s="215" t="s">
        <v>140</v>
      </c>
      <c r="G45" s="224">
        <v>43775</v>
      </c>
      <c r="H45" s="225" t="s">
        <v>145</v>
      </c>
      <c r="I45" s="215" t="s">
        <v>220</v>
      </c>
    </row>
    <row r="46" spans="2:9" x14ac:dyDescent="0.2">
      <c r="B46" s="223">
        <v>320</v>
      </c>
      <c r="C46" s="202">
        <v>273</v>
      </c>
      <c r="D46" s="226" t="str">
        <f t="shared" si="2"/>
        <v>320273</v>
      </c>
      <c r="E46" s="218" t="s">
        <v>221</v>
      </c>
      <c r="F46" s="215" t="s">
        <v>140</v>
      </c>
      <c r="G46" s="224">
        <v>43776</v>
      </c>
      <c r="H46" s="225" t="s">
        <v>145</v>
      </c>
      <c r="I46" s="215" t="s">
        <v>222</v>
      </c>
    </row>
    <row r="47" spans="2:9" x14ac:dyDescent="0.2">
      <c r="B47" s="223">
        <v>100</v>
      </c>
      <c r="C47" s="202">
        <v>80</v>
      </c>
      <c r="D47" s="226" t="str">
        <f t="shared" si="2"/>
        <v>10080</v>
      </c>
      <c r="E47" s="215" t="s">
        <v>223</v>
      </c>
      <c r="F47" s="215" t="s">
        <v>140</v>
      </c>
      <c r="G47" s="224">
        <v>43777</v>
      </c>
      <c r="H47" s="225" t="s">
        <v>155</v>
      </c>
      <c r="I47" s="215" t="s">
        <v>224</v>
      </c>
    </row>
    <row r="48" spans="2:9" x14ac:dyDescent="0.2">
      <c r="B48" s="223">
        <v>600</v>
      </c>
      <c r="C48" s="202">
        <v>460</v>
      </c>
      <c r="D48" s="226" t="str">
        <f t="shared" si="2"/>
        <v>600460</v>
      </c>
      <c r="E48" s="215" t="s">
        <v>225</v>
      </c>
      <c r="F48" s="215" t="s">
        <v>140</v>
      </c>
      <c r="G48" s="224">
        <v>43809</v>
      </c>
      <c r="H48" s="225" t="s">
        <v>145</v>
      </c>
      <c r="I48" s="215" t="s">
        <v>226</v>
      </c>
    </row>
    <row r="49" spans="2:9" x14ac:dyDescent="0.2">
      <c r="B49" s="223">
        <v>288</v>
      </c>
      <c r="C49" s="202">
        <v>250</v>
      </c>
      <c r="D49" s="226" t="str">
        <f t="shared" si="2"/>
        <v>288250</v>
      </c>
      <c r="E49" s="215" t="s">
        <v>227</v>
      </c>
      <c r="F49" s="215" t="s">
        <v>140</v>
      </c>
      <c r="G49" s="224">
        <v>43980</v>
      </c>
      <c r="H49" s="225" t="s">
        <v>145</v>
      </c>
      <c r="I49" s="215" t="s">
        <v>228</v>
      </c>
    </row>
    <row r="50" spans="2:9" x14ac:dyDescent="0.2">
      <c r="B50" s="223">
        <v>68</v>
      </c>
      <c r="C50" s="202">
        <v>50</v>
      </c>
      <c r="D50" s="226" t="str">
        <f t="shared" si="2"/>
        <v>6850</v>
      </c>
      <c r="E50" s="215" t="s">
        <v>231</v>
      </c>
      <c r="F50" s="215" t="s">
        <v>230</v>
      </c>
      <c r="G50" s="224">
        <v>44062</v>
      </c>
      <c r="H50" s="225" t="s">
        <v>145</v>
      </c>
    </row>
    <row r="51" spans="2:9" x14ac:dyDescent="0.2">
      <c r="B51" s="223">
        <v>56</v>
      </c>
      <c r="C51" s="202">
        <v>21.3</v>
      </c>
      <c r="D51" s="226" t="str">
        <f t="shared" si="2"/>
        <v>5621,3</v>
      </c>
      <c r="E51" s="215" t="s">
        <v>234</v>
      </c>
      <c r="F51" s="215" t="s">
        <v>140</v>
      </c>
      <c r="G51" s="224">
        <v>44106</v>
      </c>
      <c r="H51" s="225" t="s">
        <v>145</v>
      </c>
      <c r="I51" s="215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Calcul IL</vt:lpstr>
      <vt:lpstr>Tab Calculs (protégés)</vt:lpstr>
      <vt:lpstr>Calcul IL (2,0)</vt:lpstr>
      <vt:lpstr>Tab Calculs (protégés) (2,0)</vt:lpstr>
      <vt:lpstr>Config difficile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</dc:creator>
  <cp:lastModifiedBy>Sébastien PALLY</cp:lastModifiedBy>
  <cp:lastPrinted>2022-10-27T13:01:54Z</cp:lastPrinted>
  <dcterms:created xsi:type="dcterms:W3CDTF">2007-09-12T14:16:43Z</dcterms:created>
  <dcterms:modified xsi:type="dcterms:W3CDTF">2022-12-14T07:49:36Z</dcterms:modified>
</cp:coreProperties>
</file>